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TIMES Modeller\TIMES-TOM\"/>
    </mc:Choice>
  </mc:AlternateContent>
  <xr:revisionPtr revIDLastSave="0" documentId="13_ncr:1_{2B1D7991-A17F-4578-8BB3-2508F65A04E1}" xr6:coauthVersionLast="47" xr6:coauthVersionMax="47" xr10:uidLastSave="{00000000-0000-0000-0000-000000000000}"/>
  <bookViews>
    <workbookView xWindow="-120" yWindow="-120" windowWidth="38640" windowHeight="21240" tabRatio="757" activeTab="6" xr2:uid="{00000000-000D-0000-FFFF-FFFF00000000}"/>
  </bookViews>
  <sheets>
    <sheet name="LOG" sheetId="236" r:id="rId1"/>
    <sheet name="Intro" sheetId="243" r:id="rId2"/>
    <sheet name="Commodities" sheetId="216" r:id="rId3"/>
    <sheet name="Processes" sheetId="231" r:id="rId4"/>
    <sheet name="MIN-IMP-EXP" sheetId="219" r:id="rId5"/>
    <sheet name="ETS_NETS_Prices" sheetId="242" r:id="rId6"/>
    <sheet name="Refineries" sheetId="239" r:id="rId7"/>
    <sheet name="Emis" sheetId="244" r:id="rId8"/>
    <sheet name="Fuel Tech" sheetId="237" r:id="rId9"/>
    <sheet name="BiomassCost" sheetId="241" r:id="rId10"/>
    <sheet name="MIN-IMP-EXP_Data" sheetId="235" r:id="rId11"/>
    <sheet name="Refinery_data" sheetId="238" r:id="rId12"/>
    <sheet name="Table1.A(a)s1" sheetId="245" r:id="rId13"/>
    <sheet name="Oversigt energibalance" sheetId="246" r:id="rId14"/>
    <sheet name="Produktion af primær energi" sheetId="24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W.O.R.K.B.O.O.K..C.O.N.T.E.N.T.S____">#REF!</definedName>
    <definedName name="_xlnm._FilterDatabase" localSheetId="2" hidden="1">Commodities!$B$5:$J$25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hosenYear">[3]Cockpit!$B$5</definedName>
    <definedName name="CO2Price">ETS_NETS_Prices!$F$13:$AT$14</definedName>
    <definedName name="CRF_4_KP_I_A.1.1_Doc">#REF!</definedName>
    <definedName name="CRF_4_KP_I_A.2.1_Doc">#REF!</definedName>
    <definedName name="CRF_4_KP_I_A.2_Doc">#REF!</definedName>
    <definedName name="CRF_4_KP_I_B.1.1_Doc">#REF!</definedName>
    <definedName name="CRF_4_KP_I_B.1.3_Doc">#REF!</definedName>
    <definedName name="CRF_Table1.A_a_s1_Main">'Table1.A(a)s1'!$A$6:$J$45</definedName>
    <definedName name="CRF_Table3.B_a_s2_Add">#REF!</definedName>
    <definedName name="CRF_Table7_Main">#REF!</definedName>
    <definedName name="dkkPerEUR">'[4]Centrale data'!$C$34</definedName>
    <definedName name="Eksportstigning">[2]Plants!$J$6</definedName>
    <definedName name="ElBoiler">[2]TechnologyData!$O$72:$AA$99</definedName>
    <definedName name="ElPriceMix">[2]Subsidy!#REF!</definedName>
    <definedName name="Fastprisår">[5]Forside!$B$5</definedName>
    <definedName name="FID_1" localSheetId="0">[6]AGR_Fuels!$A$2</definedName>
    <definedName name="FID_1">[6]AGR_Fuels!$A$2</definedName>
    <definedName name="FID_2" localSheetId="5">[7]LOG!#REF!</definedName>
    <definedName name="FID_2">LOG!#REF!</definedName>
    <definedName name="FuelPrices" localSheetId="5">#REF!</definedName>
    <definedName name="FuelPrices">#REF!</definedName>
    <definedName name="HeatPump_Large">[2]TechnologyData!$O$101:$AA$128</definedName>
    <definedName name="Inflation">[2]General!#REF!</definedName>
    <definedName name="LastPSOYear">[2]Plants!$H$2</definedName>
    <definedName name="MINCRD" comment="Activity bound for DK crude oil production based on projection from DEA." localSheetId="5">'[7]Mining NGA&amp;CRD'!$N$13:$O$93</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risår_Til_Ramses">#REF!</definedName>
    <definedName name="Raggr1">[8]Rækker!$A$4:$A$4</definedName>
    <definedName name="Raggr2">[8]Rækker!$B$4:$B$4</definedName>
    <definedName name="Raggr3">[8]Rækker!$C$4:$C$4</definedName>
    <definedName name="Raggr4">'MIN-IMP-EXP_Data'!$D$4:$D$4</definedName>
    <definedName name="Raggr5">'MIN-IMP-EXP_Data'!$E$4:$E$4</definedName>
    <definedName name="Real_interest_rate">[9]TechnologyData!$B$37</definedName>
    <definedName name="RefurbishedCoalBioCHP">[2]TechnologyData!$A$43:$M$70</definedName>
    <definedName name="RenovCKV">[2]Plants!$J$4</definedName>
    <definedName name="rSØK">'[4]Centrale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WasteCHP">[2]TechnologyData!$A$101:$M$129</definedName>
    <definedName name="Wood_SmallBP">[2]TechnologyData!$A$131:$M$158</definedName>
    <definedName name="x" localSheetId="2">[10]AGR_Fuels!$A$2</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24" i="242" l="1"/>
  <c r="AR24" i="242"/>
  <c r="AQ24" i="242"/>
  <c r="AP24" i="242"/>
  <c r="AO24" i="242"/>
  <c r="AN24" i="242"/>
  <c r="AM24" i="242"/>
  <c r="AL24" i="242"/>
  <c r="AK24" i="242"/>
  <c r="AJ24" i="242"/>
  <c r="AI24" i="242"/>
  <c r="AH24" i="242"/>
  <c r="AG24" i="242"/>
  <c r="AF24" i="242"/>
  <c r="AE24" i="242"/>
  <c r="AD24" i="242"/>
  <c r="AC24" i="242"/>
  <c r="AB24" i="242"/>
  <c r="AA24" i="242"/>
  <c r="Z24" i="242"/>
  <c r="Y24" i="242"/>
  <c r="X24" i="242"/>
  <c r="W24" i="242"/>
  <c r="V24" i="242"/>
  <c r="U24" i="242"/>
  <c r="T24" i="242"/>
  <c r="S24" i="242"/>
  <c r="R24" i="242"/>
  <c r="Q24" i="242"/>
  <c r="P24" i="242"/>
  <c r="O24" i="242"/>
  <c r="N24" i="242"/>
  <c r="AS11" i="242"/>
  <c r="AR11" i="242"/>
  <c r="AQ11" i="242"/>
  <c r="AP11" i="242"/>
  <c r="AO11" i="242"/>
  <c r="AN11" i="242"/>
  <c r="AM11" i="242"/>
  <c r="AL11" i="242"/>
  <c r="AK11" i="242"/>
  <c r="AJ11" i="242"/>
  <c r="AI11" i="242"/>
  <c r="AH11" i="242"/>
  <c r="AG11" i="242"/>
  <c r="AF11" i="242"/>
  <c r="AE11" i="242"/>
  <c r="AD11" i="242"/>
  <c r="AC11" i="242"/>
  <c r="AB11" i="242"/>
  <c r="AA11" i="242"/>
  <c r="Z11" i="242"/>
  <c r="Y11" i="242"/>
  <c r="X11" i="242"/>
  <c r="W11" i="242"/>
  <c r="V11" i="242"/>
  <c r="U11" i="242"/>
  <c r="T11" i="242"/>
  <c r="S11" i="242"/>
  <c r="R11" i="242"/>
  <c r="Q11" i="242"/>
  <c r="P11" i="242"/>
  <c r="O11" i="242"/>
  <c r="N11" i="242"/>
  <c r="M11" i="242"/>
  <c r="L11" i="242"/>
  <c r="K11" i="242"/>
  <c r="J11" i="242"/>
  <c r="I11" i="242"/>
  <c r="H11" i="242"/>
  <c r="G11" i="242"/>
  <c r="F11" i="242"/>
  <c r="E11" i="242"/>
  <c r="B104" i="219" l="1"/>
  <c r="B103" i="219"/>
  <c r="F98" i="219"/>
  <c r="F99" i="219"/>
  <c r="F100" i="219"/>
  <c r="F101" i="219"/>
  <c r="F97" i="219"/>
  <c r="F68" i="219"/>
  <c r="F69" i="219"/>
  <c r="F70" i="219"/>
  <c r="F71" i="219"/>
  <c r="F72" i="219"/>
  <c r="F73" i="219"/>
  <c r="F74" i="219"/>
  <c r="F75" i="219"/>
  <c r="F76" i="219"/>
  <c r="F77" i="219"/>
  <c r="F78" i="219"/>
  <c r="F79" i="219"/>
  <c r="F80" i="219"/>
  <c r="F81" i="219"/>
  <c r="F82" i="219"/>
  <c r="F83" i="219"/>
  <c r="F84" i="219"/>
  <c r="F85" i="219"/>
  <c r="F86" i="219"/>
  <c r="F87" i="219"/>
  <c r="F90" i="219"/>
  <c r="F91" i="219"/>
  <c r="F67" i="219"/>
  <c r="F92" i="219"/>
  <c r="F93" i="219"/>
  <c r="F94" i="219"/>
  <c r="F95" i="219"/>
  <c r="F96" i="219"/>
  <c r="F102" i="219"/>
  <c r="F104" i="219"/>
  <c r="F57" i="219"/>
  <c r="F58" i="219"/>
  <c r="F59" i="219"/>
  <c r="F60" i="219"/>
  <c r="F61" i="219"/>
  <c r="F62" i="219"/>
  <c r="F63" i="219"/>
  <c r="F64" i="219"/>
  <c r="F65" i="219"/>
  <c r="F66" i="219"/>
  <c r="F36" i="219"/>
  <c r="F37" i="219"/>
  <c r="F38" i="219"/>
  <c r="F39" i="219"/>
  <c r="F40" i="219"/>
  <c r="F41" i="219"/>
  <c r="F42" i="219"/>
  <c r="F43" i="219"/>
  <c r="F44" i="219"/>
  <c r="F45" i="219"/>
  <c r="F46" i="219"/>
  <c r="F47" i="219"/>
  <c r="F48" i="219"/>
  <c r="F49" i="219"/>
  <c r="F50" i="219"/>
  <c r="F51" i="219"/>
  <c r="F52" i="219"/>
  <c r="F53" i="219"/>
  <c r="F54" i="219"/>
  <c r="F55" i="219"/>
  <c r="F56" i="219"/>
  <c r="F25" i="219"/>
  <c r="F26" i="219"/>
  <c r="F27" i="219"/>
  <c r="F28" i="219"/>
  <c r="F29" i="219"/>
  <c r="F30" i="219"/>
  <c r="F24" i="219"/>
  <c r="G50" i="219"/>
  <c r="G30" i="219"/>
  <c r="AU128" i="219"/>
  <c r="AT128" i="219"/>
  <c r="AS128" i="219"/>
  <c r="AR128" i="219"/>
  <c r="AQ128" i="219"/>
  <c r="AP128" i="219"/>
  <c r="AO128" i="219"/>
  <c r="AN128" i="219"/>
  <c r="AM128" i="219"/>
  <c r="AL128" i="219"/>
  <c r="AK128" i="219"/>
  <c r="AJ128" i="219"/>
  <c r="AI128" i="219"/>
  <c r="AH128" i="219"/>
  <c r="AG128" i="219"/>
  <c r="AF128" i="219"/>
  <c r="AE128" i="219"/>
  <c r="AD128" i="219"/>
  <c r="AC128" i="219"/>
  <c r="AB128" i="219"/>
  <c r="AA128" i="219"/>
  <c r="Z128" i="219"/>
  <c r="Y128" i="219"/>
  <c r="X128" i="219"/>
  <c r="W128" i="219"/>
  <c r="V128" i="219"/>
  <c r="U128" i="219"/>
  <c r="T128" i="219"/>
  <c r="S128" i="219"/>
  <c r="R128" i="219"/>
  <c r="Q128" i="219"/>
  <c r="P128" i="219"/>
  <c r="O128" i="219"/>
  <c r="N128" i="219"/>
  <c r="M128" i="219"/>
  <c r="L128" i="219"/>
  <c r="K128" i="219"/>
  <c r="J128" i="219"/>
  <c r="I128" i="219"/>
  <c r="H128" i="219"/>
  <c r="G128" i="219"/>
  <c r="AU127" i="219"/>
  <c r="AT127" i="219"/>
  <c r="AS127" i="219"/>
  <c r="AR127" i="219"/>
  <c r="AQ127" i="219"/>
  <c r="AP127" i="219"/>
  <c r="AO127" i="219"/>
  <c r="AN127" i="219"/>
  <c r="AM127" i="219"/>
  <c r="AL127" i="219"/>
  <c r="AK127" i="219"/>
  <c r="AJ127" i="219"/>
  <c r="AI127" i="219"/>
  <c r="AH127" i="219"/>
  <c r="AG127" i="219"/>
  <c r="AF127" i="219"/>
  <c r="AE127" i="219"/>
  <c r="AD127" i="219"/>
  <c r="AC127" i="219"/>
  <c r="AB127" i="219"/>
  <c r="AA127" i="219"/>
  <c r="Z127" i="219"/>
  <c r="Y127" i="219"/>
  <c r="X127" i="219"/>
  <c r="W127" i="219"/>
  <c r="V127" i="219"/>
  <c r="U127" i="219"/>
  <c r="T127" i="219"/>
  <c r="S127" i="219"/>
  <c r="R127" i="219"/>
  <c r="Q127" i="219"/>
  <c r="P127" i="219"/>
  <c r="O127" i="219"/>
  <c r="N127" i="219"/>
  <c r="M127" i="219"/>
  <c r="L127" i="219"/>
  <c r="K127" i="219"/>
  <c r="J127" i="219"/>
  <c r="I127" i="219"/>
  <c r="H127" i="219"/>
  <c r="G127" i="219"/>
  <c r="AU126" i="219"/>
  <c r="AT126" i="219"/>
  <c r="AS126" i="219"/>
  <c r="AR126" i="219"/>
  <c r="AQ126" i="219"/>
  <c r="AP126" i="219"/>
  <c r="AO126" i="219"/>
  <c r="AN126" i="219"/>
  <c r="AM126" i="219"/>
  <c r="AL126" i="219"/>
  <c r="AK126" i="219"/>
  <c r="AJ126" i="219"/>
  <c r="AI126" i="219"/>
  <c r="AH126" i="219"/>
  <c r="AG126" i="219"/>
  <c r="AF126" i="219"/>
  <c r="AE126" i="219"/>
  <c r="AD126" i="219"/>
  <c r="AC126" i="219"/>
  <c r="AB126" i="219"/>
  <c r="AA126" i="219"/>
  <c r="Z126" i="219"/>
  <c r="Y126" i="219"/>
  <c r="X126" i="219"/>
  <c r="W126" i="219"/>
  <c r="V126" i="219"/>
  <c r="U126" i="219"/>
  <c r="T126" i="219"/>
  <c r="S126" i="219"/>
  <c r="R126" i="219"/>
  <c r="Q126" i="219"/>
  <c r="P126" i="219"/>
  <c r="O126" i="219"/>
  <c r="N126" i="219"/>
  <c r="M126" i="219"/>
  <c r="L126" i="219"/>
  <c r="K126" i="219"/>
  <c r="J126" i="219"/>
  <c r="I126" i="219"/>
  <c r="H126" i="219"/>
  <c r="G126" i="219"/>
  <c r="AU117" i="219"/>
  <c r="AT117" i="219"/>
  <c r="AS117" i="219"/>
  <c r="AR117" i="219"/>
  <c r="AQ117" i="219"/>
  <c r="AP117" i="219"/>
  <c r="AO117" i="219"/>
  <c r="AN117" i="219"/>
  <c r="AM117" i="219"/>
  <c r="AL117" i="219"/>
  <c r="AK117" i="219"/>
  <c r="AJ117" i="219"/>
  <c r="AI117" i="219"/>
  <c r="AH117" i="219"/>
  <c r="AG117" i="219"/>
  <c r="AF117" i="219"/>
  <c r="AE117" i="219"/>
  <c r="AD117" i="219"/>
  <c r="AC117" i="219"/>
  <c r="AB117" i="219"/>
  <c r="AA117" i="219"/>
  <c r="Z117" i="219"/>
  <c r="Y117" i="219"/>
  <c r="X117" i="219"/>
  <c r="W117" i="219"/>
  <c r="V117" i="219"/>
  <c r="U117" i="219"/>
  <c r="T117" i="219"/>
  <c r="S117" i="219"/>
  <c r="R117" i="219"/>
  <c r="Q117" i="219"/>
  <c r="P117" i="219"/>
  <c r="O117" i="219"/>
  <c r="N117" i="219"/>
  <c r="M117" i="219"/>
  <c r="L117" i="219"/>
  <c r="K117" i="219"/>
  <c r="J117" i="219"/>
  <c r="I117" i="219"/>
  <c r="H117" i="219"/>
  <c r="G117" i="219"/>
  <c r="G135" i="219"/>
  <c r="G140" i="219"/>
  <c r="AS158" i="219"/>
  <c r="AS159" i="219" s="1"/>
  <c r="AR158" i="219"/>
  <c r="AR159" i="219" s="1"/>
  <c r="AQ158" i="219"/>
  <c r="AQ159" i="219" s="1"/>
  <c r="AO158" i="219"/>
  <c r="AO159" i="219" s="1"/>
  <c r="AM158" i="219"/>
  <c r="AM159" i="219" s="1"/>
  <c r="AH158" i="219"/>
  <c r="AH159" i="219" s="1"/>
  <c r="Y158" i="219"/>
  <c r="Y159" i="219" s="1"/>
  <c r="U158" i="219"/>
  <c r="U159" i="219" s="1"/>
  <c r="T158" i="219"/>
  <c r="T159" i="219" s="1"/>
  <c r="Q158" i="219"/>
  <c r="Q159" i="219" s="1"/>
  <c r="P158" i="219"/>
  <c r="P159" i="219" s="1"/>
  <c r="O158" i="219"/>
  <c r="O159" i="219" s="1"/>
  <c r="D99" i="219"/>
  <c r="AH99" i="219" s="1"/>
  <c r="AU144" i="219"/>
  <c r="AT144" i="219"/>
  <c r="AS144" i="219"/>
  <c r="AR144" i="219"/>
  <c r="AQ144" i="219"/>
  <c r="AP144" i="219"/>
  <c r="AO144" i="219"/>
  <c r="AN144" i="219"/>
  <c r="AM144" i="219"/>
  <c r="AL144" i="219"/>
  <c r="AK144" i="219"/>
  <c r="AJ144" i="219"/>
  <c r="AI144" i="219"/>
  <c r="AH144" i="219"/>
  <c r="AG144" i="219"/>
  <c r="AF144" i="219"/>
  <c r="AE144" i="219"/>
  <c r="AD144" i="219"/>
  <c r="AC144" i="219"/>
  <c r="AB144" i="219"/>
  <c r="AA144" i="219"/>
  <c r="Z144" i="219"/>
  <c r="Y144" i="219"/>
  <c r="X144" i="219"/>
  <c r="W144" i="219"/>
  <c r="V144" i="219"/>
  <c r="U144" i="219"/>
  <c r="T144" i="219"/>
  <c r="S144" i="219"/>
  <c r="R144" i="219"/>
  <c r="Q144" i="219"/>
  <c r="P144" i="219"/>
  <c r="O144" i="219"/>
  <c r="AU143" i="219"/>
  <c r="AT143" i="219"/>
  <c r="AS143" i="219"/>
  <c r="AR143" i="219"/>
  <c r="AQ143" i="219"/>
  <c r="AP143" i="219"/>
  <c r="AO143" i="219"/>
  <c r="AN143" i="219"/>
  <c r="AM143" i="219"/>
  <c r="AL143" i="219"/>
  <c r="AK143" i="219"/>
  <c r="AJ143" i="219"/>
  <c r="AI143" i="219"/>
  <c r="AH143" i="219"/>
  <c r="AG143" i="219"/>
  <c r="AF143" i="219"/>
  <c r="AE143" i="219"/>
  <c r="AD143" i="219"/>
  <c r="AC143" i="219"/>
  <c r="AB143" i="219"/>
  <c r="AA143" i="219"/>
  <c r="Z143" i="219"/>
  <c r="Y143" i="219"/>
  <c r="X143" i="219"/>
  <c r="W143" i="219"/>
  <c r="V143" i="219"/>
  <c r="U143" i="219"/>
  <c r="T143" i="219"/>
  <c r="S143" i="219"/>
  <c r="R143" i="219"/>
  <c r="Q143" i="219"/>
  <c r="P143" i="219"/>
  <c r="O143" i="219"/>
  <c r="AU142" i="219"/>
  <c r="AT142" i="219"/>
  <c r="AS142" i="219"/>
  <c r="AR142" i="219"/>
  <c r="AQ142" i="219"/>
  <c r="AP142" i="219"/>
  <c r="AO142" i="219"/>
  <c r="AN142" i="219"/>
  <c r="AM142" i="219"/>
  <c r="AL142" i="219"/>
  <c r="AK142" i="219"/>
  <c r="AJ142" i="219"/>
  <c r="AI142" i="219"/>
  <c r="AH142" i="219"/>
  <c r="AG142" i="219"/>
  <c r="AF142" i="219"/>
  <c r="AE142" i="219"/>
  <c r="AD142" i="219"/>
  <c r="AC142" i="219"/>
  <c r="AB142" i="219"/>
  <c r="AA142" i="219"/>
  <c r="Z142" i="219"/>
  <c r="Y142" i="219"/>
  <c r="X142" i="219"/>
  <c r="W142" i="219"/>
  <c r="V142" i="219"/>
  <c r="U142" i="219"/>
  <c r="T142" i="219"/>
  <c r="S142" i="219"/>
  <c r="R142" i="219"/>
  <c r="Q142" i="219"/>
  <c r="P142" i="219"/>
  <c r="O142" i="219"/>
  <c r="AU134" i="219"/>
  <c r="AT134" i="219"/>
  <c r="AS134" i="219"/>
  <c r="AR134" i="219"/>
  <c r="AQ134" i="219"/>
  <c r="AP134" i="219"/>
  <c r="AO134" i="219"/>
  <c r="AN134" i="219"/>
  <c r="AM134" i="219"/>
  <c r="AL134" i="219"/>
  <c r="AK134" i="219"/>
  <c r="AJ134" i="219"/>
  <c r="AI134" i="219"/>
  <c r="AH134" i="219"/>
  <c r="AG134" i="219"/>
  <c r="AF134" i="219"/>
  <c r="AE134" i="219"/>
  <c r="AD134" i="219"/>
  <c r="AC134" i="219"/>
  <c r="AB134" i="219"/>
  <c r="AA134" i="219"/>
  <c r="Z134" i="219"/>
  <c r="Y134" i="219"/>
  <c r="X134" i="219"/>
  <c r="W134" i="219"/>
  <c r="V134" i="219"/>
  <c r="U134" i="219"/>
  <c r="T134" i="219"/>
  <c r="S134" i="219"/>
  <c r="R134" i="219"/>
  <c r="Q134" i="219"/>
  <c r="P134" i="219"/>
  <c r="O134" i="219"/>
  <c r="AU130" i="219"/>
  <c r="AT130" i="219"/>
  <c r="AS130" i="219"/>
  <c r="AR130" i="219"/>
  <c r="AQ130" i="219"/>
  <c r="AP130" i="219"/>
  <c r="AO130" i="219"/>
  <c r="AN130" i="219"/>
  <c r="AM130" i="219"/>
  <c r="AL130" i="219"/>
  <c r="AK130" i="219"/>
  <c r="AJ130" i="219"/>
  <c r="AI130" i="219"/>
  <c r="AH130" i="219"/>
  <c r="AG130" i="219"/>
  <c r="AF130" i="219"/>
  <c r="AE130" i="219"/>
  <c r="AD130" i="219"/>
  <c r="AC130" i="219"/>
  <c r="AB130" i="219"/>
  <c r="AA130" i="219"/>
  <c r="Z130" i="219"/>
  <c r="Y130" i="219"/>
  <c r="X130" i="219"/>
  <c r="W130" i="219"/>
  <c r="V130" i="219"/>
  <c r="U130" i="219"/>
  <c r="T130" i="219"/>
  <c r="S130" i="219"/>
  <c r="R130" i="219"/>
  <c r="Q130" i="219"/>
  <c r="P130" i="219"/>
  <c r="O130" i="219"/>
  <c r="O133" i="219" s="1"/>
  <c r="AU125" i="219"/>
  <c r="AU158" i="219" s="1"/>
  <c r="AU159" i="219" s="1"/>
  <c r="AT125" i="219"/>
  <c r="AT158" i="219" s="1"/>
  <c r="AT159" i="219" s="1"/>
  <c r="AS125" i="219"/>
  <c r="AR125" i="219"/>
  <c r="AQ125" i="219"/>
  <c r="AP125" i="219"/>
  <c r="AP158" i="219" s="1"/>
  <c r="AP159" i="219" s="1"/>
  <c r="AO125" i="219"/>
  <c r="AN125" i="219"/>
  <c r="AN158" i="219" s="1"/>
  <c r="AN159" i="219" s="1"/>
  <c r="AM125" i="219"/>
  <c r="AL125" i="219"/>
  <c r="AL158" i="219" s="1"/>
  <c r="AL159" i="219" s="1"/>
  <c r="AK125" i="219"/>
  <c r="AK158" i="219" s="1"/>
  <c r="AK159" i="219" s="1"/>
  <c r="AJ125" i="219"/>
  <c r="AJ158" i="219" s="1"/>
  <c r="AJ159" i="219" s="1"/>
  <c r="AJ99" i="219" s="1"/>
  <c r="AI125" i="219"/>
  <c r="AI158" i="219" s="1"/>
  <c r="AI159" i="219" s="1"/>
  <c r="AH125" i="219"/>
  <c r="AG125" i="219"/>
  <c r="AG158" i="219" s="1"/>
  <c r="AG159" i="219" s="1"/>
  <c r="AG99" i="219" s="1"/>
  <c r="AF125" i="219"/>
  <c r="AF158" i="219" s="1"/>
  <c r="AF159" i="219" s="1"/>
  <c r="AF99" i="219" s="1"/>
  <c r="AE125" i="219"/>
  <c r="AE158" i="219" s="1"/>
  <c r="AE159" i="219" s="1"/>
  <c r="AE99" i="219" s="1"/>
  <c r="AD125" i="219"/>
  <c r="AD158" i="219" s="1"/>
  <c r="AD159" i="219" s="1"/>
  <c r="AC125" i="219"/>
  <c r="AC158" i="219" s="1"/>
  <c r="AC159" i="219" s="1"/>
  <c r="AB125" i="219"/>
  <c r="AB158" i="219" s="1"/>
  <c r="AB159" i="219" s="1"/>
  <c r="AA125" i="219"/>
  <c r="AA158" i="219" s="1"/>
  <c r="AA159" i="219" s="1"/>
  <c r="Z125" i="219"/>
  <c r="Z158" i="219" s="1"/>
  <c r="Z159" i="219" s="1"/>
  <c r="Y125" i="219"/>
  <c r="X125" i="219"/>
  <c r="X158" i="219" s="1"/>
  <c r="X159" i="219" s="1"/>
  <c r="W125" i="219"/>
  <c r="W158" i="219" s="1"/>
  <c r="W159" i="219" s="1"/>
  <c r="V125" i="219"/>
  <c r="V158" i="219" s="1"/>
  <c r="V159" i="219" s="1"/>
  <c r="U125" i="219"/>
  <c r="T125" i="219"/>
  <c r="S125" i="219"/>
  <c r="S158" i="219" s="1"/>
  <c r="S159" i="219" s="1"/>
  <c r="R125" i="219"/>
  <c r="R158" i="219" s="1"/>
  <c r="R159" i="219" s="1"/>
  <c r="Q125" i="219"/>
  <c r="P125" i="219"/>
  <c r="O125" i="219"/>
  <c r="AU120" i="219"/>
  <c r="AT120" i="219"/>
  <c r="AS120" i="219"/>
  <c r="AR120" i="219"/>
  <c r="AQ120" i="219"/>
  <c r="AP120" i="219"/>
  <c r="AO120" i="219"/>
  <c r="AN120" i="219"/>
  <c r="AM120" i="219"/>
  <c r="AL120" i="219"/>
  <c r="AK120" i="219"/>
  <c r="AJ120" i="219"/>
  <c r="AI120" i="219"/>
  <c r="AH120" i="219"/>
  <c r="AG120" i="219"/>
  <c r="AF120" i="219"/>
  <c r="AE120" i="219"/>
  <c r="AD120" i="219"/>
  <c r="AC120" i="219"/>
  <c r="AB120" i="219"/>
  <c r="AA120" i="219"/>
  <c r="Z120" i="219"/>
  <c r="Y120" i="219"/>
  <c r="X120" i="219"/>
  <c r="W120" i="219"/>
  <c r="V120" i="219"/>
  <c r="U120" i="219"/>
  <c r="T120" i="219"/>
  <c r="S120" i="219"/>
  <c r="R120" i="219"/>
  <c r="Q120" i="219"/>
  <c r="P120" i="219"/>
  <c r="O120" i="219"/>
  <c r="AU116" i="219"/>
  <c r="AT116" i="219"/>
  <c r="AS116" i="219"/>
  <c r="AR116" i="219"/>
  <c r="AQ116" i="219"/>
  <c r="AP116" i="219"/>
  <c r="AO116" i="219"/>
  <c r="AN116" i="219"/>
  <c r="AM116" i="219"/>
  <c r="AL116" i="219"/>
  <c r="AK116" i="219"/>
  <c r="AJ116" i="219"/>
  <c r="AI116" i="219"/>
  <c r="AH116" i="219"/>
  <c r="AG116" i="219"/>
  <c r="AF116" i="219"/>
  <c r="AE116" i="219"/>
  <c r="AD116" i="219"/>
  <c r="AC116" i="219"/>
  <c r="AB116" i="219"/>
  <c r="AA116" i="219"/>
  <c r="Z116" i="219"/>
  <c r="Y116" i="219"/>
  <c r="X116" i="219"/>
  <c r="W116" i="219"/>
  <c r="V116" i="219"/>
  <c r="U116" i="219"/>
  <c r="T116" i="219"/>
  <c r="S116" i="219"/>
  <c r="R116" i="219"/>
  <c r="Q116" i="219"/>
  <c r="P116" i="219"/>
  <c r="O116" i="219"/>
  <c r="AU114" i="219"/>
  <c r="AT114" i="219"/>
  <c r="AS114" i="219"/>
  <c r="AR114" i="219"/>
  <c r="AQ114" i="219"/>
  <c r="AP114" i="219"/>
  <c r="AO114" i="219"/>
  <c r="AN114" i="219"/>
  <c r="AM114" i="219"/>
  <c r="AL114" i="219"/>
  <c r="AK114" i="219"/>
  <c r="AJ114" i="219"/>
  <c r="AI114" i="219"/>
  <c r="AH114" i="219"/>
  <c r="AG114" i="219"/>
  <c r="AF114" i="219"/>
  <c r="AE114" i="219"/>
  <c r="AD114" i="219"/>
  <c r="AC114" i="219"/>
  <c r="AB114" i="219"/>
  <c r="AA114" i="219"/>
  <c r="Z114" i="219"/>
  <c r="Y114" i="219"/>
  <c r="X114" i="219"/>
  <c r="W114" i="219"/>
  <c r="V114" i="219"/>
  <c r="U114" i="219"/>
  <c r="T114" i="219"/>
  <c r="S114" i="219"/>
  <c r="R114" i="219"/>
  <c r="Q114" i="219"/>
  <c r="P114" i="219"/>
  <c r="O114" i="219"/>
  <c r="AU113" i="219"/>
  <c r="AT113" i="219"/>
  <c r="AS113" i="219"/>
  <c r="AR113" i="219"/>
  <c r="AQ113" i="219"/>
  <c r="AP113" i="219"/>
  <c r="AO113" i="219"/>
  <c r="AN113" i="219"/>
  <c r="AM113" i="219"/>
  <c r="AL113" i="219"/>
  <c r="AK113" i="219"/>
  <c r="AJ113" i="219"/>
  <c r="AI113" i="219"/>
  <c r="AH113" i="219"/>
  <c r="AG113" i="219"/>
  <c r="AF113" i="219"/>
  <c r="AE113" i="219"/>
  <c r="AD113" i="219"/>
  <c r="AC113" i="219"/>
  <c r="AB113" i="219"/>
  <c r="AA113" i="219"/>
  <c r="Z113" i="219"/>
  <c r="Y113" i="219"/>
  <c r="X113" i="219"/>
  <c r="W113" i="219"/>
  <c r="V113" i="219"/>
  <c r="U113" i="219"/>
  <c r="T113" i="219"/>
  <c r="S113" i="219"/>
  <c r="R113" i="219"/>
  <c r="Q113" i="219"/>
  <c r="P113" i="219"/>
  <c r="O113" i="219"/>
  <c r="AU166" i="219"/>
  <c r="AT166" i="219"/>
  <c r="AS166" i="219"/>
  <c r="AR166" i="219"/>
  <c r="AQ166" i="219"/>
  <c r="AP166" i="219"/>
  <c r="AO166" i="219"/>
  <c r="AN166" i="219"/>
  <c r="AM166" i="219"/>
  <c r="AL166" i="219"/>
  <c r="AK166" i="219"/>
  <c r="AJ166" i="219"/>
  <c r="AI166" i="219"/>
  <c r="AH166" i="219"/>
  <c r="AG166" i="219"/>
  <c r="AF166" i="219"/>
  <c r="AE166" i="219"/>
  <c r="AD166" i="219"/>
  <c r="AC166" i="219"/>
  <c r="AB166" i="219"/>
  <c r="AA166" i="219"/>
  <c r="Z166" i="219"/>
  <c r="Y166" i="219"/>
  <c r="X166" i="219"/>
  <c r="W166" i="219"/>
  <c r="V166" i="219"/>
  <c r="U166" i="219"/>
  <c r="T166" i="219"/>
  <c r="S166" i="219"/>
  <c r="R166" i="219"/>
  <c r="Q166" i="219"/>
  <c r="P166" i="219"/>
  <c r="O166" i="219"/>
  <c r="N166" i="219"/>
  <c r="M166" i="219"/>
  <c r="L166" i="219"/>
  <c r="K166" i="219"/>
  <c r="J166" i="219"/>
  <c r="I166" i="219"/>
  <c r="H166" i="219"/>
  <c r="AU165" i="219"/>
  <c r="AQ165" i="219"/>
  <c r="AP165" i="219"/>
  <c r="AO165" i="219"/>
  <c r="AB165" i="219"/>
  <c r="AA165" i="219"/>
  <c r="U165" i="219"/>
  <c r="R165" i="219"/>
  <c r="O165" i="219"/>
  <c r="L164" i="219"/>
  <c r="I164" i="219"/>
  <c r="H164" i="219"/>
  <c r="G166" i="219"/>
  <c r="G157" i="219"/>
  <c r="E199" i="219"/>
  <c r="O150" i="219" s="1"/>
  <c r="O151" i="219" s="1"/>
  <c r="E198" i="219"/>
  <c r="T149" i="219" s="1"/>
  <c r="E197" i="219"/>
  <c r="AQ148" i="219" s="1"/>
  <c r="E196" i="219"/>
  <c r="Z147" i="219" s="1"/>
  <c r="E195" i="219"/>
  <c r="AH146" i="219" s="1"/>
  <c r="G146" i="219"/>
  <c r="G141" i="219"/>
  <c r="M135" i="219"/>
  <c r="M136" i="219" s="1"/>
  <c r="G134" i="219"/>
  <c r="G136" i="219" s="1"/>
  <c r="G137" i="219" s="1"/>
  <c r="G138" i="219" s="1"/>
  <c r="N131" i="219"/>
  <c r="K121" i="219"/>
  <c r="K122" i="219" s="1"/>
  <c r="K124" i="219" s="1"/>
  <c r="J121" i="219"/>
  <c r="J122" i="219" s="1"/>
  <c r="J124" i="219" s="1"/>
  <c r="G121" i="219"/>
  <c r="H237" i="219"/>
  <c r="G237" i="219"/>
  <c r="H236" i="219"/>
  <c r="H144" i="219" s="1"/>
  <c r="H145" i="219" s="1"/>
  <c r="G236" i="219"/>
  <c r="G144" i="219" s="1"/>
  <c r="G145" i="219" s="1"/>
  <c r="H235" i="219"/>
  <c r="G235" i="219"/>
  <c r="H234" i="219"/>
  <c r="G234" i="219"/>
  <c r="AL233" i="219"/>
  <c r="AM233" i="219" s="1"/>
  <c r="AN233" i="219" s="1"/>
  <c r="AO233" i="219" s="1"/>
  <c r="AP233" i="219" s="1"/>
  <c r="AQ233" i="219" s="1"/>
  <c r="AR233" i="219" s="1"/>
  <c r="AS233" i="219" s="1"/>
  <c r="AT233" i="219" s="1"/>
  <c r="AU233" i="219" s="1"/>
  <c r="H233" i="219"/>
  <c r="H143" i="219" s="1"/>
  <c r="G233" i="219"/>
  <c r="G143" i="219" s="1"/>
  <c r="H232" i="219"/>
  <c r="G232" i="219"/>
  <c r="H231" i="219"/>
  <c r="G231" i="219"/>
  <c r="H230" i="219"/>
  <c r="G230" i="219"/>
  <c r="AL229" i="219"/>
  <c r="AM229" i="219" s="1"/>
  <c r="AN229" i="219" s="1"/>
  <c r="AO229" i="219" s="1"/>
  <c r="AP229" i="219" s="1"/>
  <c r="AQ229" i="219" s="1"/>
  <c r="AR229" i="219" s="1"/>
  <c r="AS229" i="219" s="1"/>
  <c r="AT229" i="219" s="1"/>
  <c r="AU229" i="219" s="1"/>
  <c r="H229" i="219"/>
  <c r="G229" i="219"/>
  <c r="H228" i="219"/>
  <c r="G228" i="219"/>
  <c r="H227" i="219"/>
  <c r="G227" i="219"/>
  <c r="H226" i="219"/>
  <c r="G226" i="219"/>
  <c r="H225" i="219"/>
  <c r="G225" i="219"/>
  <c r="AL224" i="219"/>
  <c r="AM224" i="219" s="1"/>
  <c r="AN224" i="219" s="1"/>
  <c r="AO224" i="219" s="1"/>
  <c r="AP224" i="219" s="1"/>
  <c r="AQ224" i="219" s="1"/>
  <c r="AR224" i="219" s="1"/>
  <c r="AS224" i="219" s="1"/>
  <c r="AT224" i="219" s="1"/>
  <c r="AU224" i="219" s="1"/>
  <c r="H224" i="219"/>
  <c r="H142" i="219" s="1"/>
  <c r="G224" i="219"/>
  <c r="G142" i="219" s="1"/>
  <c r="AL216" i="219"/>
  <c r="AM216" i="219" s="1"/>
  <c r="AN216" i="219" s="1"/>
  <c r="AO216" i="219" s="1"/>
  <c r="AP216" i="219" s="1"/>
  <c r="AQ216" i="219" s="1"/>
  <c r="AR216" i="219" s="1"/>
  <c r="AS216" i="219" s="1"/>
  <c r="AT216" i="219" s="1"/>
  <c r="AU216" i="219" s="1"/>
  <c r="AL212" i="219"/>
  <c r="AM212" i="219" s="1"/>
  <c r="AN212" i="219" s="1"/>
  <c r="AO212" i="219" s="1"/>
  <c r="AP212" i="219" s="1"/>
  <c r="AQ212" i="219" s="1"/>
  <c r="AR212" i="219" s="1"/>
  <c r="AS212" i="219" s="1"/>
  <c r="AT212" i="219" s="1"/>
  <c r="AU212" i="219" s="1"/>
  <c r="AL211" i="219"/>
  <c r="AM211" i="219" s="1"/>
  <c r="AN211" i="219" s="1"/>
  <c r="AO211" i="219" s="1"/>
  <c r="AP211" i="219" s="1"/>
  <c r="AQ211" i="219" s="1"/>
  <c r="AR211" i="219" s="1"/>
  <c r="AS211" i="219" s="1"/>
  <c r="AT211" i="219" s="1"/>
  <c r="AU211" i="219" s="1"/>
  <c r="AL210" i="219"/>
  <c r="AM210" i="219" s="1"/>
  <c r="AN210" i="219" s="1"/>
  <c r="AO210" i="219" s="1"/>
  <c r="AP210" i="219" s="1"/>
  <c r="AQ210" i="219" s="1"/>
  <c r="AR210" i="219" s="1"/>
  <c r="AS210" i="219" s="1"/>
  <c r="AT210" i="219" s="1"/>
  <c r="AU210" i="219" s="1"/>
  <c r="AL209" i="219"/>
  <c r="AM209" i="219" s="1"/>
  <c r="AN209" i="219" s="1"/>
  <c r="AO209" i="219" s="1"/>
  <c r="AP209" i="219" s="1"/>
  <c r="AQ209" i="219" s="1"/>
  <c r="AR209" i="219" s="1"/>
  <c r="AS209" i="219" s="1"/>
  <c r="AT209" i="219" s="1"/>
  <c r="AU209" i="219" s="1"/>
  <c r="AL208" i="219"/>
  <c r="AM208" i="219" s="1"/>
  <c r="AN208" i="219" s="1"/>
  <c r="AO208" i="219" s="1"/>
  <c r="AP208" i="219" s="1"/>
  <c r="AQ208" i="219" s="1"/>
  <c r="AR208" i="219" s="1"/>
  <c r="AS208" i="219" s="1"/>
  <c r="AT208" i="219" s="1"/>
  <c r="AU208" i="219" s="1"/>
  <c r="E191" i="219"/>
  <c r="C191" i="219"/>
  <c r="E190" i="219"/>
  <c r="AE165" i="219" s="1"/>
  <c r="C190" i="219"/>
  <c r="C189" i="219"/>
  <c r="C188" i="219"/>
  <c r="E187" i="219"/>
  <c r="C187" i="219"/>
  <c r="C186" i="219"/>
  <c r="D185" i="219"/>
  <c r="D183" i="219"/>
  <c r="D182" i="219"/>
  <c r="D181" i="219"/>
  <c r="D180" i="219"/>
  <c r="F160" i="219"/>
  <c r="F161" i="219" s="1"/>
  <c r="F162" i="219" s="1"/>
  <c r="AU156" i="219"/>
  <c r="AT156" i="219"/>
  <c r="AS156" i="219"/>
  <c r="AR156" i="219"/>
  <c r="AQ156" i="219"/>
  <c r="AP156" i="219"/>
  <c r="AO156" i="219"/>
  <c r="AN156" i="219"/>
  <c r="AM156" i="219"/>
  <c r="AL156" i="219"/>
  <c r="AK156" i="219"/>
  <c r="AJ156" i="219"/>
  <c r="AI156" i="219"/>
  <c r="AH156" i="219"/>
  <c r="AG156" i="219"/>
  <c r="AF156" i="219"/>
  <c r="AE156" i="219"/>
  <c r="AD156" i="219"/>
  <c r="AC156" i="219"/>
  <c r="AB156" i="219"/>
  <c r="AA156" i="219"/>
  <c r="Z156" i="219"/>
  <c r="Y156" i="219"/>
  <c r="X156" i="219"/>
  <c r="W156" i="219"/>
  <c r="V156" i="219"/>
  <c r="U156" i="219"/>
  <c r="T156" i="219"/>
  <c r="S156" i="219"/>
  <c r="R156" i="219"/>
  <c r="Q156" i="219"/>
  <c r="P156" i="219"/>
  <c r="O156" i="219"/>
  <c r="N156" i="219"/>
  <c r="M156" i="219"/>
  <c r="L156" i="219"/>
  <c r="K156" i="219"/>
  <c r="J156" i="219"/>
  <c r="I156" i="219"/>
  <c r="H156" i="219"/>
  <c r="G156" i="219"/>
  <c r="AU155" i="219"/>
  <c r="AT155" i="219"/>
  <c r="AS155" i="219"/>
  <c r="AR155" i="219"/>
  <c r="AQ155" i="219"/>
  <c r="AP155" i="219"/>
  <c r="AO155" i="219"/>
  <c r="AN155" i="219"/>
  <c r="AM155" i="219"/>
  <c r="AL155" i="219"/>
  <c r="AK155" i="219"/>
  <c r="AJ155" i="219"/>
  <c r="AI155" i="219"/>
  <c r="AH155" i="219"/>
  <c r="AG155" i="219"/>
  <c r="AF155" i="219"/>
  <c r="AE155" i="219"/>
  <c r="AD155" i="219"/>
  <c r="AC155" i="219"/>
  <c r="AB155" i="219"/>
  <c r="AA155" i="219"/>
  <c r="Z155" i="219"/>
  <c r="Y155" i="219"/>
  <c r="X155" i="219"/>
  <c r="W155" i="219"/>
  <c r="V155" i="219"/>
  <c r="U155" i="219"/>
  <c r="T155" i="219"/>
  <c r="S155" i="219"/>
  <c r="R155" i="219"/>
  <c r="Q155" i="219"/>
  <c r="P155" i="219"/>
  <c r="O155" i="219"/>
  <c r="N155" i="219"/>
  <c r="M155" i="219"/>
  <c r="L155" i="219"/>
  <c r="K155" i="219"/>
  <c r="J155" i="219"/>
  <c r="I155" i="219"/>
  <c r="H155" i="219"/>
  <c r="G155" i="219"/>
  <c r="AU154" i="219"/>
  <c r="AT154" i="219"/>
  <c r="AS154" i="219"/>
  <c r="AR154" i="219"/>
  <c r="AQ154" i="219"/>
  <c r="AP154" i="219"/>
  <c r="AO154" i="219"/>
  <c r="AN154" i="219"/>
  <c r="AM154" i="219"/>
  <c r="AL154" i="219"/>
  <c r="AK154" i="219"/>
  <c r="AJ154" i="219"/>
  <c r="AI154" i="219"/>
  <c r="AH154" i="219"/>
  <c r="AG154" i="219"/>
  <c r="AF154" i="219"/>
  <c r="AE154" i="219"/>
  <c r="AD154" i="219"/>
  <c r="AC154" i="219"/>
  <c r="AB154" i="219"/>
  <c r="AA154" i="219"/>
  <c r="Z154" i="219"/>
  <c r="Y154" i="219"/>
  <c r="X154" i="219"/>
  <c r="W154" i="219"/>
  <c r="V154" i="219"/>
  <c r="U154" i="219"/>
  <c r="T154" i="219"/>
  <c r="S154" i="219"/>
  <c r="R154" i="219"/>
  <c r="Q154" i="219"/>
  <c r="P154" i="219"/>
  <c r="O154" i="219"/>
  <c r="N154" i="219"/>
  <c r="M154" i="219"/>
  <c r="L154" i="219"/>
  <c r="K154" i="219"/>
  <c r="J154" i="219"/>
  <c r="I154" i="219"/>
  <c r="H154" i="219"/>
  <c r="G154" i="219"/>
  <c r="AU153" i="219"/>
  <c r="AT153" i="219"/>
  <c r="AS153" i="219"/>
  <c r="AR153" i="219"/>
  <c r="AQ153" i="219"/>
  <c r="AP153" i="219"/>
  <c r="AO153" i="219"/>
  <c r="AN153" i="219"/>
  <c r="AM153" i="219"/>
  <c r="AL153" i="219"/>
  <c r="AK153" i="219"/>
  <c r="AJ153" i="219"/>
  <c r="AI153" i="219"/>
  <c r="AH153" i="219"/>
  <c r="AG153" i="219"/>
  <c r="AF153" i="219"/>
  <c r="AE153" i="219"/>
  <c r="AD153" i="219"/>
  <c r="AC153" i="219"/>
  <c r="AB153" i="219"/>
  <c r="AA153" i="219"/>
  <c r="Z153" i="219"/>
  <c r="Y153" i="219"/>
  <c r="X153" i="219"/>
  <c r="W153" i="219"/>
  <c r="V153" i="219"/>
  <c r="U153" i="219"/>
  <c r="T153" i="219"/>
  <c r="S153" i="219"/>
  <c r="R153" i="219"/>
  <c r="Q153" i="219"/>
  <c r="P153" i="219"/>
  <c r="O153" i="219"/>
  <c r="N153" i="219"/>
  <c r="M153" i="219"/>
  <c r="L153" i="219"/>
  <c r="K153" i="219"/>
  <c r="J153" i="219"/>
  <c r="I153" i="219"/>
  <c r="H153" i="219"/>
  <c r="G153" i="219"/>
  <c r="AU152" i="219"/>
  <c r="AT152" i="219"/>
  <c r="AS152" i="219"/>
  <c r="AR152" i="219"/>
  <c r="AQ152" i="219"/>
  <c r="AP152" i="219"/>
  <c r="AO152" i="219"/>
  <c r="AN152" i="219"/>
  <c r="AM152" i="219"/>
  <c r="AL152" i="219"/>
  <c r="AK152" i="219"/>
  <c r="AJ152" i="219"/>
  <c r="AI152" i="219"/>
  <c r="AH152" i="219"/>
  <c r="AG152" i="219"/>
  <c r="AF152" i="219"/>
  <c r="AE152" i="219"/>
  <c r="AD152" i="219"/>
  <c r="AC152" i="219"/>
  <c r="AB152" i="219"/>
  <c r="AA152" i="219"/>
  <c r="Z152" i="219"/>
  <c r="Y152" i="219"/>
  <c r="X152" i="219"/>
  <c r="W152" i="219"/>
  <c r="V152" i="219"/>
  <c r="U152" i="219"/>
  <c r="T152" i="219"/>
  <c r="S152" i="219"/>
  <c r="R152" i="219"/>
  <c r="Q152" i="219"/>
  <c r="P152" i="219"/>
  <c r="O152" i="219"/>
  <c r="N152" i="219"/>
  <c r="M152" i="219"/>
  <c r="L152" i="219"/>
  <c r="K152" i="219"/>
  <c r="J152" i="219"/>
  <c r="I152" i="219"/>
  <c r="H152" i="219"/>
  <c r="G152" i="219"/>
  <c r="AR147" i="219"/>
  <c r="AM147" i="219"/>
  <c r="AB147" i="219"/>
  <c r="X147" i="219"/>
  <c r="Q147" i="219"/>
  <c r="N144" i="219"/>
  <c r="N145" i="219" s="1"/>
  <c r="M144" i="219"/>
  <c r="M145" i="219" s="1"/>
  <c r="L144" i="219"/>
  <c r="L145" i="219" s="1"/>
  <c r="K144" i="219"/>
  <c r="K145" i="219" s="1"/>
  <c r="J144" i="219"/>
  <c r="J145" i="219" s="1"/>
  <c r="I144" i="219"/>
  <c r="I145" i="219" s="1"/>
  <c r="N143" i="219"/>
  <c r="M143" i="219"/>
  <c r="L143" i="219"/>
  <c r="K143" i="219"/>
  <c r="J143" i="219"/>
  <c r="I143" i="219"/>
  <c r="N142" i="219"/>
  <c r="N162" i="219" s="1"/>
  <c r="M142" i="219"/>
  <c r="L142" i="219"/>
  <c r="L163" i="219" s="1"/>
  <c r="K142" i="219"/>
  <c r="K163" i="219" s="1"/>
  <c r="J142" i="219"/>
  <c r="J163" i="219" s="1"/>
  <c r="I142" i="219"/>
  <c r="I163" i="219" s="1"/>
  <c r="F135" i="219"/>
  <c r="F136" i="219" s="1"/>
  <c r="F141" i="219" s="1"/>
  <c r="N134" i="219"/>
  <c r="M134" i="219"/>
  <c r="L134" i="219"/>
  <c r="K134" i="219"/>
  <c r="K141" i="219" s="1"/>
  <c r="J134" i="219"/>
  <c r="I134" i="219"/>
  <c r="I135" i="219" s="1"/>
  <c r="I136" i="219" s="1"/>
  <c r="H134" i="219"/>
  <c r="H141" i="219" s="1"/>
  <c r="F131" i="219"/>
  <c r="F133" i="219" s="1"/>
  <c r="N130" i="219"/>
  <c r="M130" i="219"/>
  <c r="M131" i="219" s="1"/>
  <c r="M132" i="219" s="1"/>
  <c r="L130" i="219"/>
  <c r="L131" i="219" s="1"/>
  <c r="K130" i="219"/>
  <c r="K131" i="219" s="1"/>
  <c r="K132" i="219" s="1"/>
  <c r="J130" i="219"/>
  <c r="J133" i="219" s="1"/>
  <c r="I130" i="219"/>
  <c r="I131" i="219" s="1"/>
  <c r="H130" i="219"/>
  <c r="H131" i="219" s="1"/>
  <c r="G130" i="219"/>
  <c r="G133" i="219" s="1"/>
  <c r="F129" i="219"/>
  <c r="N125" i="219"/>
  <c r="N129" i="219" s="1"/>
  <c r="N104" i="219" s="1"/>
  <c r="M125" i="219"/>
  <c r="M129" i="219" s="1"/>
  <c r="M104" i="219" s="1"/>
  <c r="L125" i="219"/>
  <c r="K125" i="219"/>
  <c r="J125" i="219"/>
  <c r="I125" i="219"/>
  <c r="H125" i="219"/>
  <c r="G125" i="219"/>
  <c r="N120" i="219"/>
  <c r="N121" i="219" s="1"/>
  <c r="N122" i="219" s="1"/>
  <c r="N124" i="219" s="1"/>
  <c r="M120" i="219"/>
  <c r="M121" i="219" s="1"/>
  <c r="M122" i="219" s="1"/>
  <c r="L120" i="219"/>
  <c r="L121" i="219" s="1"/>
  <c r="L122" i="219" s="1"/>
  <c r="L124" i="219" s="1"/>
  <c r="K120" i="219"/>
  <c r="J120" i="219"/>
  <c r="I120" i="219"/>
  <c r="I121" i="219" s="1"/>
  <c r="I122" i="219" s="1"/>
  <c r="H120" i="219"/>
  <c r="H121" i="219" s="1"/>
  <c r="H122" i="219" s="1"/>
  <c r="G120" i="219"/>
  <c r="N116" i="219"/>
  <c r="N118" i="219" s="1"/>
  <c r="N119" i="219" s="1"/>
  <c r="M116" i="219"/>
  <c r="M118" i="219" s="1"/>
  <c r="M119" i="219" s="1"/>
  <c r="L116" i="219"/>
  <c r="L118" i="219" s="1"/>
  <c r="L119" i="219" s="1"/>
  <c r="K116" i="219"/>
  <c r="K118" i="219" s="1"/>
  <c r="K119" i="219" s="1"/>
  <c r="J116" i="219"/>
  <c r="J118" i="219" s="1"/>
  <c r="J119" i="219" s="1"/>
  <c r="I116" i="219"/>
  <c r="I118" i="219" s="1"/>
  <c r="I119" i="219" s="1"/>
  <c r="H116" i="219"/>
  <c r="H118" i="219" s="1"/>
  <c r="H119" i="219" s="1"/>
  <c r="G116" i="219"/>
  <c r="N114" i="219"/>
  <c r="N115" i="219" s="1"/>
  <c r="M114" i="219"/>
  <c r="M115" i="219" s="1"/>
  <c r="L114" i="219"/>
  <c r="L115" i="219" s="1"/>
  <c r="K114" i="219"/>
  <c r="K115" i="219" s="1"/>
  <c r="J114" i="219"/>
  <c r="J115" i="219" s="1"/>
  <c r="I114" i="219"/>
  <c r="I115" i="219" s="1"/>
  <c r="H114" i="219"/>
  <c r="H115" i="219" s="1"/>
  <c r="G114" i="219"/>
  <c r="G115" i="219" s="1"/>
  <c r="N113" i="219"/>
  <c r="N164" i="219" s="1"/>
  <c r="M113" i="219"/>
  <c r="M164" i="219" s="1"/>
  <c r="L113" i="219"/>
  <c r="K113" i="219"/>
  <c r="K164" i="219" s="1"/>
  <c r="J113" i="219"/>
  <c r="J164" i="219" s="1"/>
  <c r="I113" i="219"/>
  <c r="H113" i="219"/>
  <c r="G113" i="219"/>
  <c r="G164" i="219" s="1"/>
  <c r="G118" i="219" l="1"/>
  <c r="G119" i="219" s="1"/>
  <c r="M123" i="219"/>
  <c r="M124" i="219"/>
  <c r="AR165" i="219"/>
  <c r="AD99" i="219"/>
  <c r="AT165" i="219"/>
  <c r="AC99" i="219"/>
  <c r="AB99" i="219"/>
  <c r="AA99" i="219"/>
  <c r="Z99" i="219"/>
  <c r="Y99" i="219"/>
  <c r="AJ148" i="219"/>
  <c r="G165" i="219"/>
  <c r="X99" i="219"/>
  <c r="AK148" i="219"/>
  <c r="AM146" i="219"/>
  <c r="W99" i="219"/>
  <c r="V99" i="219"/>
  <c r="AF149" i="219"/>
  <c r="AT149" i="219"/>
  <c r="U99" i="219"/>
  <c r="AU149" i="219"/>
  <c r="AS150" i="219"/>
  <c r="AS151" i="219" s="1"/>
  <c r="G99" i="219"/>
  <c r="T99" i="219"/>
  <c r="K133" i="219"/>
  <c r="G158" i="219"/>
  <c r="G159" i="219" s="1"/>
  <c r="AT99" i="219"/>
  <c r="R99" i="219"/>
  <c r="I165" i="219"/>
  <c r="H158" i="219"/>
  <c r="H159" i="219" s="1"/>
  <c r="H99" i="219" s="1"/>
  <c r="AS99" i="219"/>
  <c r="Q99" i="219"/>
  <c r="AU99" i="219"/>
  <c r="I158" i="219"/>
  <c r="I159" i="219" s="1"/>
  <c r="AR99" i="219"/>
  <c r="P99" i="219"/>
  <c r="X149" i="219"/>
  <c r="X148" i="219"/>
  <c r="S99" i="219"/>
  <c r="M165" i="219"/>
  <c r="N165" i="219"/>
  <c r="J158" i="219"/>
  <c r="J159" i="219" s="1"/>
  <c r="AQ99" i="219"/>
  <c r="O99" i="219"/>
  <c r="K158" i="219"/>
  <c r="K159" i="219" s="1"/>
  <c r="K99" i="219" s="1"/>
  <c r="AP99" i="219"/>
  <c r="P165" i="219"/>
  <c r="L158" i="219"/>
  <c r="L159" i="219" s="1"/>
  <c r="AO99" i="219"/>
  <c r="M99" i="219"/>
  <c r="M158" i="219"/>
  <c r="M159" i="219" s="1"/>
  <c r="AN99" i="219"/>
  <c r="L99" i="219"/>
  <c r="S165" i="219"/>
  <c r="N158" i="219"/>
  <c r="N159" i="219" s="1"/>
  <c r="N99" i="219" s="1"/>
  <c r="AM99" i="219"/>
  <c r="AL99" i="219"/>
  <c r="J99" i="219"/>
  <c r="AK99" i="219"/>
  <c r="I99" i="219"/>
  <c r="AI99" i="219"/>
  <c r="AG165" i="219"/>
  <c r="AK165" i="219"/>
  <c r="G163" i="219"/>
  <c r="G162" i="219"/>
  <c r="H123" i="219"/>
  <c r="H124" i="219"/>
  <c r="I124" i="219"/>
  <c r="I123" i="219"/>
  <c r="J135" i="219"/>
  <c r="J136" i="219" s="1"/>
  <c r="J137" i="219" s="1"/>
  <c r="T165" i="219"/>
  <c r="X165" i="219"/>
  <c r="J123" i="219"/>
  <c r="G148" i="219"/>
  <c r="K123" i="219"/>
  <c r="L123" i="219"/>
  <c r="J148" i="219"/>
  <c r="AN165" i="219"/>
  <c r="L165" i="219"/>
  <c r="AM165" i="219"/>
  <c r="K165" i="219"/>
  <c r="AL165" i="219"/>
  <c r="J165" i="219"/>
  <c r="AJ165" i="219"/>
  <c r="H165" i="219"/>
  <c r="AI165" i="219"/>
  <c r="AH165" i="219"/>
  <c r="AD165" i="219"/>
  <c r="AC165" i="219"/>
  <c r="Z165" i="219"/>
  <c r="Y165" i="219"/>
  <c r="W165" i="219"/>
  <c r="V165" i="219"/>
  <c r="AS165" i="219"/>
  <c r="Q165" i="219"/>
  <c r="AE147" i="219"/>
  <c r="AU147" i="219"/>
  <c r="AS147" i="219"/>
  <c r="AK147" i="219"/>
  <c r="AC147" i="219"/>
  <c r="AG147" i="219"/>
  <c r="U147" i="219"/>
  <c r="S147" i="219"/>
  <c r="AF165" i="219"/>
  <c r="AM148" i="219"/>
  <c r="N135" i="219"/>
  <c r="N136" i="219" s="1"/>
  <c r="N137" i="219" s="1"/>
  <c r="N123" i="219"/>
  <c r="J150" i="219"/>
  <c r="J151" i="219" s="1"/>
  <c r="K150" i="219"/>
  <c r="K151" i="219" s="1"/>
  <c r="I147" i="219"/>
  <c r="AD147" i="219"/>
  <c r="N146" i="219"/>
  <c r="O146" i="219"/>
  <c r="AT146" i="219"/>
  <c r="V146" i="219"/>
  <c r="L150" i="219"/>
  <c r="L151" i="219" s="1"/>
  <c r="M150" i="219"/>
  <c r="M151" i="219" s="1"/>
  <c r="N150" i="219"/>
  <c r="N151" i="219" s="1"/>
  <c r="R150" i="219"/>
  <c r="R151" i="219" s="1"/>
  <c r="T150" i="219"/>
  <c r="T151" i="219" s="1"/>
  <c r="N132" i="219"/>
  <c r="Q150" i="219"/>
  <c r="Q151" i="219" s="1"/>
  <c r="S150" i="219"/>
  <c r="S151" i="219" s="1"/>
  <c r="G122" i="219"/>
  <c r="G124" i="219" s="1"/>
  <c r="F132" i="219"/>
  <c r="H133" i="219"/>
  <c r="U150" i="219"/>
  <c r="U151" i="219" s="1"/>
  <c r="Z150" i="219"/>
  <c r="Z151" i="219" s="1"/>
  <c r="G131" i="219"/>
  <c r="G132" i="219" s="1"/>
  <c r="N133" i="219"/>
  <c r="AK150" i="219"/>
  <c r="AK151" i="219" s="1"/>
  <c r="AT150" i="219"/>
  <c r="AT151" i="219" s="1"/>
  <c r="L133" i="219"/>
  <c r="J131" i="219"/>
  <c r="J132" i="219" s="1"/>
  <c r="J146" i="219"/>
  <c r="AU150" i="219"/>
  <c r="AU151" i="219" s="1"/>
  <c r="V150" i="219"/>
  <c r="V151" i="219" s="1"/>
  <c r="M133" i="219"/>
  <c r="AH150" i="219"/>
  <c r="AH151" i="219" s="1"/>
  <c r="AN150" i="219"/>
  <c r="AN151" i="219" s="1"/>
  <c r="I146" i="219"/>
  <c r="K146" i="219"/>
  <c r="Z146" i="219"/>
  <c r="N141" i="219"/>
  <c r="AD146" i="219"/>
  <c r="H135" i="219"/>
  <c r="H136" i="219" s="1"/>
  <c r="AE146" i="219"/>
  <c r="G147" i="219"/>
  <c r="G150" i="219"/>
  <c r="G151" i="219" s="1"/>
  <c r="AL146" i="219"/>
  <c r="H150" i="219"/>
  <c r="H151" i="219" s="1"/>
  <c r="K135" i="219"/>
  <c r="K136" i="219" s="1"/>
  <c r="I150" i="219"/>
  <c r="I151" i="219" s="1"/>
  <c r="L135" i="219"/>
  <c r="L136" i="219" s="1"/>
  <c r="L132" i="219"/>
  <c r="H132" i="219"/>
  <c r="AP146" i="219"/>
  <c r="H129" i="219"/>
  <c r="H104" i="219" s="1"/>
  <c r="AS146" i="219"/>
  <c r="K157" i="219"/>
  <c r="M147" i="219"/>
  <c r="G149" i="219"/>
  <c r="AB150" i="219"/>
  <c r="AB151" i="219" s="1"/>
  <c r="L157" i="219"/>
  <c r="K147" i="219"/>
  <c r="AU148" i="219"/>
  <c r="P147" i="219"/>
  <c r="R149" i="219"/>
  <c r="AG150" i="219"/>
  <c r="AG151" i="219" s="1"/>
  <c r="N157" i="219"/>
  <c r="R147" i="219"/>
  <c r="W149" i="219"/>
  <c r="AI150" i="219"/>
  <c r="AI151" i="219" s="1"/>
  <c r="I129" i="219"/>
  <c r="I104" i="219" s="1"/>
  <c r="T147" i="219"/>
  <c r="AA149" i="219"/>
  <c r="AL150" i="219"/>
  <c r="AL151" i="219" s="1"/>
  <c r="V147" i="219"/>
  <c r="AG149" i="219"/>
  <c r="AO150" i="219"/>
  <c r="AO151" i="219" s="1"/>
  <c r="L162" i="219"/>
  <c r="I162" i="219"/>
  <c r="J141" i="219"/>
  <c r="W147" i="219"/>
  <c r="AI149" i="219"/>
  <c r="AP150" i="219"/>
  <c r="AP151" i="219" s="1"/>
  <c r="AQ149" i="219"/>
  <c r="AQ150" i="219"/>
  <c r="AQ151" i="219" s="1"/>
  <c r="N163" i="219"/>
  <c r="L141" i="219"/>
  <c r="Y147" i="219"/>
  <c r="G129" i="219"/>
  <c r="G104" i="219" s="1"/>
  <c r="K129" i="219"/>
  <c r="K104" i="219" s="1"/>
  <c r="P148" i="219"/>
  <c r="L129" i="219"/>
  <c r="L104" i="219" s="1"/>
  <c r="R148" i="219"/>
  <c r="AP148" i="219"/>
  <c r="N148" i="219"/>
  <c r="AD148" i="219"/>
  <c r="AC148" i="219"/>
  <c r="AA148" i="219"/>
  <c r="Y148" i="219"/>
  <c r="W148" i="219"/>
  <c r="V148" i="219"/>
  <c r="U148" i="219"/>
  <c r="AR148" i="219"/>
  <c r="AO148" i="219"/>
  <c r="AN148" i="219"/>
  <c r="AL148" i="219"/>
  <c r="AI148" i="219"/>
  <c r="AH148" i="219"/>
  <c r="AG148" i="219"/>
  <c r="AF148" i="219"/>
  <c r="AE148" i="219"/>
  <c r="AB148" i="219"/>
  <c r="Z148" i="219"/>
  <c r="T148" i="219"/>
  <c r="S148" i="219"/>
  <c r="Q148" i="219"/>
  <c r="O148" i="219"/>
  <c r="M148" i="219"/>
  <c r="K148" i="219"/>
  <c r="L148" i="219"/>
  <c r="AT148" i="219"/>
  <c r="I148" i="219"/>
  <c r="AS148" i="219"/>
  <c r="H148" i="219"/>
  <c r="G123" i="219"/>
  <c r="H157" i="219"/>
  <c r="I132" i="219"/>
  <c r="I133" i="219"/>
  <c r="M137" i="219"/>
  <c r="M140" i="219"/>
  <c r="M162" i="219"/>
  <c r="M163" i="219"/>
  <c r="F137" i="219"/>
  <c r="AN146" i="219"/>
  <c r="L146" i="219"/>
  <c r="AB146" i="219"/>
  <c r="Y146" i="219"/>
  <c r="W146" i="219"/>
  <c r="U146" i="219"/>
  <c r="T146" i="219"/>
  <c r="AU146" i="219"/>
  <c r="S146" i="219"/>
  <c r="M146" i="219"/>
  <c r="AA147" i="219"/>
  <c r="AQ147" i="219"/>
  <c r="O147" i="219"/>
  <c r="AP147" i="219"/>
  <c r="N147" i="219"/>
  <c r="AN147" i="219"/>
  <c r="L147" i="219"/>
  <c r="AL147" i="219"/>
  <c r="J147" i="219"/>
  <c r="AJ147" i="219"/>
  <c r="H147" i="219"/>
  <c r="AI147" i="219"/>
  <c r="AH147" i="219"/>
  <c r="AC149" i="219"/>
  <c r="AS149" i="219"/>
  <c r="Q149" i="219"/>
  <c r="AR149" i="219"/>
  <c r="P149" i="219"/>
  <c r="AP149" i="219"/>
  <c r="N149" i="219"/>
  <c r="AN149" i="219"/>
  <c r="L149" i="219"/>
  <c r="AL149" i="219"/>
  <c r="J149" i="219"/>
  <c r="AK149" i="219"/>
  <c r="I149" i="219"/>
  <c r="AJ149" i="219"/>
  <c r="H149" i="219"/>
  <c r="F140" i="219"/>
  <c r="P146" i="219"/>
  <c r="K149" i="219"/>
  <c r="AR150" i="219"/>
  <c r="AR151" i="219" s="1"/>
  <c r="P150" i="219"/>
  <c r="P151" i="219" s="1"/>
  <c r="AF150" i="219"/>
  <c r="AF151" i="219" s="1"/>
  <c r="AE150" i="219"/>
  <c r="AE151" i="219" s="1"/>
  <c r="AC150" i="219"/>
  <c r="AC151" i="219" s="1"/>
  <c r="AA150" i="219"/>
  <c r="AA151" i="219" s="1"/>
  <c r="Y150" i="219"/>
  <c r="Y151" i="219" s="1"/>
  <c r="X150" i="219"/>
  <c r="X151" i="219" s="1"/>
  <c r="W150" i="219"/>
  <c r="W151" i="219" s="1"/>
  <c r="Q146" i="219"/>
  <c r="M149" i="219"/>
  <c r="R146" i="219"/>
  <c r="O149" i="219"/>
  <c r="X146" i="219"/>
  <c r="S149" i="219"/>
  <c r="I157" i="219"/>
  <c r="I141" i="219"/>
  <c r="AA146" i="219"/>
  <c r="U149" i="219"/>
  <c r="J162" i="219"/>
  <c r="J129" i="219"/>
  <c r="J104" i="219" s="1"/>
  <c r="M141" i="219"/>
  <c r="AC146" i="219"/>
  <c r="V149" i="219"/>
  <c r="J157" i="219"/>
  <c r="K162" i="219"/>
  <c r="AF146" i="219"/>
  <c r="Y149" i="219"/>
  <c r="M157" i="219"/>
  <c r="AG146" i="219"/>
  <c r="Z149" i="219"/>
  <c r="AI146" i="219"/>
  <c r="AB149" i="219"/>
  <c r="AJ146" i="219"/>
  <c r="AF147" i="219"/>
  <c r="AD149" i="219"/>
  <c r="AD150" i="219"/>
  <c r="AD151" i="219" s="1"/>
  <c r="AK146" i="219"/>
  <c r="AE149" i="219"/>
  <c r="H162" i="219"/>
  <c r="H163" i="219"/>
  <c r="AO146" i="219"/>
  <c r="AO147" i="219"/>
  <c r="AH149" i="219"/>
  <c r="AJ150" i="219"/>
  <c r="AJ151" i="219" s="1"/>
  <c r="AQ146" i="219"/>
  <c r="AM149" i="219"/>
  <c r="H146" i="219"/>
  <c r="AR146" i="219"/>
  <c r="AT147" i="219"/>
  <c r="AO149" i="219"/>
  <c r="AM150" i="219"/>
  <c r="AM151" i="219" s="1"/>
  <c r="N140" i="219" l="1"/>
  <c r="N138" i="219"/>
  <c r="N139" i="219" s="1"/>
  <c r="J138" i="219"/>
  <c r="J139" i="219" s="1"/>
  <c r="M138" i="219"/>
  <c r="M139" i="219" s="1"/>
  <c r="L137" i="219"/>
  <c r="L140" i="219"/>
  <c r="J140" i="219"/>
  <c r="H140" i="219"/>
  <c r="H137" i="219"/>
  <c r="G139" i="219"/>
  <c r="I137" i="219"/>
  <c r="I140" i="219"/>
  <c r="K137" i="219"/>
  <c r="K140" i="219"/>
  <c r="K138" i="219" l="1"/>
  <c r="K139" i="219" s="1"/>
  <c r="I138" i="219"/>
  <c r="I139" i="219" s="1"/>
  <c r="H138" i="219"/>
  <c r="H139" i="219" s="1"/>
  <c r="L138" i="219"/>
  <c r="L139" i="219" s="1"/>
  <c r="E43" i="237" l="1"/>
  <c r="D43" i="237"/>
  <c r="B43" i="237"/>
  <c r="B89" i="219"/>
  <c r="D89" i="219" s="1"/>
  <c r="F121" i="231"/>
  <c r="E121" i="231"/>
  <c r="D121" i="231"/>
  <c r="F120" i="231"/>
  <c r="E120" i="231"/>
  <c r="D120" i="231"/>
  <c r="B42" i="237" s="1"/>
  <c r="F113" i="216"/>
  <c r="E71" i="231"/>
  <c r="C89" i="219" s="1"/>
  <c r="D71" i="231"/>
  <c r="E42" i="237"/>
  <c r="D42" i="237"/>
  <c r="F112" i="216"/>
  <c r="E70" i="231"/>
  <c r="C88" i="219" s="1"/>
  <c r="D70" i="231"/>
  <c r="B88" i="219" s="1"/>
  <c r="E73" i="231"/>
  <c r="C91" i="219" s="1"/>
  <c r="D73" i="231"/>
  <c r="B91" i="219" s="1"/>
  <c r="D91" i="219" s="1"/>
  <c r="E72" i="231"/>
  <c r="C90" i="219" s="1"/>
  <c r="D72" i="231"/>
  <c r="B90" i="219" s="1"/>
  <c r="D90" i="219" s="1"/>
  <c r="E60" i="231"/>
  <c r="C78" i="219" s="1"/>
  <c r="D60" i="231"/>
  <c r="B78" i="219" s="1"/>
  <c r="D78" i="219" s="1"/>
  <c r="E63" i="231"/>
  <c r="C81" i="219" s="1"/>
  <c r="D63" i="231"/>
  <c r="B81" i="219" s="1"/>
  <c r="D81" i="219" s="1"/>
  <c r="E66" i="231"/>
  <c r="C84" i="219" s="1"/>
  <c r="D66" i="231"/>
  <c r="B84" i="219" s="1"/>
  <c r="D84" i="219" s="1"/>
  <c r="E69" i="231"/>
  <c r="C87" i="219" s="1"/>
  <c r="D69" i="231"/>
  <c r="B87" i="219" s="1"/>
  <c r="D87" i="219" s="1"/>
  <c r="D50" i="231"/>
  <c r="D51" i="231"/>
  <c r="D52" i="231"/>
  <c r="D53" i="231"/>
  <c r="D54" i="231"/>
  <c r="D55" i="231"/>
  <c r="D56" i="231"/>
  <c r="D57" i="231"/>
  <c r="D58" i="231"/>
  <c r="D59" i="231"/>
  <c r="D61" i="231"/>
  <c r="D62" i="231"/>
  <c r="D64" i="231"/>
  <c r="D65" i="231"/>
  <c r="D67" i="231"/>
  <c r="D68" i="231"/>
  <c r="D88" i="219" l="1"/>
  <c r="L12" i="239"/>
  <c r="K12" i="239"/>
  <c r="E115" i="216" l="1"/>
  <c r="L14" i="244" l="1"/>
  <c r="E12" i="244"/>
  <c r="E34" i="237" l="1"/>
  <c r="B60" i="237" l="1"/>
  <c r="B61" i="237"/>
  <c r="B62" i="237"/>
  <c r="D73" i="237" l="1"/>
  <c r="D79" i="237" s="1"/>
  <c r="D72" i="237"/>
  <c r="D78" i="237" s="1"/>
  <c r="D68" i="237"/>
  <c r="D74" i="237" s="1"/>
  <c r="D64" i="237"/>
  <c r="D70" i="237" s="1"/>
  <c r="D76" i="237" s="1"/>
  <c r="D65" i="237"/>
  <c r="D71" i="237" s="1"/>
  <c r="D77" i="237" s="1"/>
  <c r="D63" i="237"/>
  <c r="D69" i="237" s="1"/>
  <c r="D75" i="237" s="1"/>
  <c r="D49" i="237"/>
  <c r="D4" i="236"/>
  <c r="D53" i="237"/>
  <c r="F121" i="216"/>
  <c r="F129" i="231" s="1"/>
  <c r="E121" i="216"/>
  <c r="E129" i="231" s="1"/>
  <c r="D121" i="216"/>
  <c r="W19" i="239"/>
  <c r="Y18" i="239"/>
  <c r="Y17" i="239"/>
  <c r="E13" i="239"/>
  <c r="D85" i="216"/>
  <c r="D93" i="231" s="1"/>
  <c r="B11" i="237" s="1"/>
  <c r="F85" i="216"/>
  <c r="F93" i="231" s="1"/>
  <c r="E85" i="216"/>
  <c r="E93" i="231" s="1"/>
  <c r="D11" i="237"/>
  <c r="P71" i="237"/>
  <c r="P70" i="237"/>
  <c r="P69" i="237"/>
  <c r="Q68" i="237"/>
  <c r="P68" i="237" s="1"/>
  <c r="E140" i="231"/>
  <c r="E139" i="231"/>
  <c r="E138" i="231"/>
  <c r="E54" i="219"/>
  <c r="E36" i="231"/>
  <c r="C54" i="219" s="1"/>
  <c r="D36" i="231"/>
  <c r="B54" i="219" s="1"/>
  <c r="M15" i="244"/>
  <c r="M16" i="244" s="1"/>
  <c r="E137" i="231"/>
  <c r="E136" i="231"/>
  <c r="BB28" i="219"/>
  <c r="BC28" i="219"/>
  <c r="BB29" i="219"/>
  <c r="BC29" i="219"/>
  <c r="D19" i="231"/>
  <c r="B37" i="219" s="1"/>
  <c r="D97" i="231"/>
  <c r="B15" i="237" s="1"/>
  <c r="D15" i="237"/>
  <c r="E15" i="237"/>
  <c r="D42" i="231"/>
  <c r="B60" i="219" s="1"/>
  <c r="E60" i="219" s="1"/>
  <c r="E42" i="231"/>
  <c r="C60" i="219" s="1"/>
  <c r="E97" i="231"/>
  <c r="F97" i="231"/>
  <c r="D96" i="231"/>
  <c r="B14" i="237" s="1"/>
  <c r="D14" i="237"/>
  <c r="E14" i="237"/>
  <c r="E96" i="231"/>
  <c r="F96" i="231"/>
  <c r="D41" i="231"/>
  <c r="B59" i="219" s="1"/>
  <c r="E59" i="219" s="1"/>
  <c r="E41" i="231"/>
  <c r="C59" i="219" s="1"/>
  <c r="E37" i="219"/>
  <c r="E19" i="231"/>
  <c r="C37" i="219" s="1"/>
  <c r="E21" i="231"/>
  <c r="C39" i="219" s="1"/>
  <c r="D21" i="231"/>
  <c r="B39" i="219" s="1"/>
  <c r="E39" i="219"/>
  <c r="E22" i="231"/>
  <c r="C40" i="219" s="1"/>
  <c r="D22" i="231"/>
  <c r="B40" i="219" s="1"/>
  <c r="D5" i="236"/>
  <c r="D127" i="216"/>
  <c r="E59" i="237" s="1"/>
  <c r="D59" i="237"/>
  <c r="D114" i="216"/>
  <c r="D44" i="237"/>
  <c r="D45" i="237"/>
  <c r="D116" i="216"/>
  <c r="D124" i="231" s="1"/>
  <c r="B46" i="237" s="1"/>
  <c r="D46" i="237"/>
  <c r="D125" i="231"/>
  <c r="B47" i="237" s="1"/>
  <c r="D47" i="237"/>
  <c r="D48" i="237"/>
  <c r="D50" i="237"/>
  <c r="D51" i="237"/>
  <c r="D120" i="216"/>
  <c r="D128" i="231" s="1"/>
  <c r="B52" i="237" s="1"/>
  <c r="D52" i="237"/>
  <c r="D122" i="216"/>
  <c r="E54" i="237" s="1"/>
  <c r="D54" i="237"/>
  <c r="D123" i="216"/>
  <c r="D131" i="231" s="1"/>
  <c r="B55" i="237" s="1"/>
  <c r="D55" i="237"/>
  <c r="D56" i="237"/>
  <c r="D125" i="216"/>
  <c r="E57" i="237" s="1"/>
  <c r="D57" i="237"/>
  <c r="D126" i="216"/>
  <c r="E58" i="237" s="1"/>
  <c r="D58" i="237"/>
  <c r="D84" i="216"/>
  <c r="E10" i="237" s="1"/>
  <c r="D10" i="237"/>
  <c r="D86" i="216"/>
  <c r="D94" i="231" s="1"/>
  <c r="B12" i="237" s="1"/>
  <c r="D12" i="237"/>
  <c r="D87" i="216"/>
  <c r="D95" i="231" s="1"/>
  <c r="B13" i="237" s="1"/>
  <c r="D13" i="237"/>
  <c r="D16" i="237"/>
  <c r="D91" i="216"/>
  <c r="D99" i="231" s="1"/>
  <c r="B17" i="237" s="1"/>
  <c r="D17" i="237"/>
  <c r="D92" i="216"/>
  <c r="D100" i="231" s="1"/>
  <c r="B18" i="237" s="1"/>
  <c r="D18" i="237"/>
  <c r="D93" i="216"/>
  <c r="E19" i="237" s="1"/>
  <c r="D19" i="237"/>
  <c r="D20" i="237"/>
  <c r="D95" i="216"/>
  <c r="E21" i="237" s="1"/>
  <c r="D21" i="237"/>
  <c r="D96" i="216"/>
  <c r="D22" i="237"/>
  <c r="D97" i="216"/>
  <c r="D105" i="231" s="1"/>
  <c r="B23" i="237" s="1"/>
  <c r="D23" i="237"/>
  <c r="D24" i="237"/>
  <c r="D99" i="216"/>
  <c r="E25" i="237" s="1"/>
  <c r="D25" i="237"/>
  <c r="D100" i="216"/>
  <c r="D108" i="231" s="1"/>
  <c r="B26" i="237" s="1"/>
  <c r="D26" i="237"/>
  <c r="D101" i="216"/>
  <c r="E27" i="237" s="1"/>
  <c r="D27" i="237"/>
  <c r="D28" i="237"/>
  <c r="D103" i="216"/>
  <c r="D111" i="231" s="1"/>
  <c r="B29" i="237" s="1"/>
  <c r="D29" i="237"/>
  <c r="D104" i="216"/>
  <c r="E30" i="237" s="1"/>
  <c r="D30" i="237"/>
  <c r="D105" i="216"/>
  <c r="D113" i="231" s="1"/>
  <c r="B31" i="237" s="1"/>
  <c r="D31" i="237"/>
  <c r="D32" i="237"/>
  <c r="D107" i="216"/>
  <c r="E33" i="237" s="1"/>
  <c r="D33" i="237"/>
  <c r="D116" i="231"/>
  <c r="B34" i="237" s="1"/>
  <c r="D34" i="237"/>
  <c r="D35" i="237"/>
  <c r="D37" i="237"/>
  <c r="D110" i="216"/>
  <c r="D118" i="231" s="1"/>
  <c r="B38" i="237" s="1"/>
  <c r="D38" i="237"/>
  <c r="D119" i="231"/>
  <c r="B39" i="237" s="1"/>
  <c r="D39" i="237"/>
  <c r="D40" i="237"/>
  <c r="D9" i="237"/>
  <c r="F84" i="216"/>
  <c r="F92" i="231" s="1"/>
  <c r="F87" i="216"/>
  <c r="F95" i="231" s="1"/>
  <c r="F91" i="216"/>
  <c r="F99" i="231" s="1"/>
  <c r="F93" i="216"/>
  <c r="F101" i="231" s="1"/>
  <c r="F95" i="216"/>
  <c r="F103" i="231" s="1"/>
  <c r="F97" i="216"/>
  <c r="F105" i="231" s="1"/>
  <c r="F99" i="216"/>
  <c r="F107" i="231" s="1"/>
  <c r="F101" i="216"/>
  <c r="F109" i="231" s="1"/>
  <c r="F103" i="216"/>
  <c r="F111" i="231" s="1"/>
  <c r="F105" i="216"/>
  <c r="F113" i="231" s="1"/>
  <c r="F107" i="216"/>
  <c r="F115" i="231" s="1"/>
  <c r="F110" i="216"/>
  <c r="F118" i="231" s="1"/>
  <c r="F111" i="216"/>
  <c r="F119" i="231" s="1"/>
  <c r="F114" i="216"/>
  <c r="F115" i="216"/>
  <c r="F116" i="216"/>
  <c r="F124" i="231" s="1"/>
  <c r="F118" i="216"/>
  <c r="F126" i="231" s="1"/>
  <c r="F120" i="216"/>
  <c r="F128" i="231" s="1"/>
  <c r="F123" i="216"/>
  <c r="F131" i="231" s="1"/>
  <c r="F125" i="216"/>
  <c r="F133" i="231" s="1"/>
  <c r="F127" i="216"/>
  <c r="F135" i="231" s="1"/>
  <c r="E125" i="216"/>
  <c r="E133" i="231" s="1"/>
  <c r="E126" i="216"/>
  <c r="E134" i="231" s="1"/>
  <c r="F126" i="216"/>
  <c r="F134" i="231" s="1"/>
  <c r="E127" i="216"/>
  <c r="E135" i="231" s="1"/>
  <c r="D119" i="216"/>
  <c r="D127" i="231" s="1"/>
  <c r="B51" i="237" s="1"/>
  <c r="E119" i="216"/>
  <c r="E127" i="231" s="1"/>
  <c r="F119" i="216"/>
  <c r="F127" i="231" s="1"/>
  <c r="E120" i="216"/>
  <c r="E128" i="231" s="1"/>
  <c r="E122" i="216"/>
  <c r="E130" i="231" s="1"/>
  <c r="F122" i="216"/>
  <c r="F130" i="231" s="1"/>
  <c r="E123" i="216"/>
  <c r="E131" i="231" s="1"/>
  <c r="D124" i="216"/>
  <c r="E56" i="237" s="1"/>
  <c r="E124" i="216"/>
  <c r="E132" i="231" s="1"/>
  <c r="F124" i="216"/>
  <c r="F132" i="231" s="1"/>
  <c r="E39" i="237"/>
  <c r="E119" i="231"/>
  <c r="E114" i="216"/>
  <c r="D115" i="216"/>
  <c r="D123" i="231" s="1"/>
  <c r="B45" i="237" s="1"/>
  <c r="E123" i="231"/>
  <c r="E116" i="216"/>
  <c r="E124" i="231" s="1"/>
  <c r="E125" i="231"/>
  <c r="F117" i="216"/>
  <c r="F125" i="231" s="1"/>
  <c r="D118" i="216"/>
  <c r="E118" i="216"/>
  <c r="E126" i="231" s="1"/>
  <c r="E84" i="216"/>
  <c r="E92" i="231" s="1"/>
  <c r="E86" i="216"/>
  <c r="E94" i="231" s="1"/>
  <c r="F86" i="216"/>
  <c r="F94" i="231" s="1"/>
  <c r="E13" i="237"/>
  <c r="E87" i="216"/>
  <c r="E95" i="231" s="1"/>
  <c r="D90" i="216"/>
  <c r="E16" i="237" s="1"/>
  <c r="E90" i="216"/>
  <c r="E98" i="231" s="1"/>
  <c r="F90" i="216"/>
  <c r="F98" i="231" s="1"/>
  <c r="E91" i="216"/>
  <c r="E99" i="231" s="1"/>
  <c r="E92" i="216"/>
  <c r="E100" i="231" s="1"/>
  <c r="F92" i="216"/>
  <c r="F100" i="231" s="1"/>
  <c r="E93" i="216"/>
  <c r="E101" i="231" s="1"/>
  <c r="D94" i="216"/>
  <c r="E20" i="237" s="1"/>
  <c r="E94" i="216"/>
  <c r="E102" i="231" s="1"/>
  <c r="F94" i="216"/>
  <c r="F102" i="231" s="1"/>
  <c r="E95" i="216"/>
  <c r="E103" i="231" s="1"/>
  <c r="E96" i="216"/>
  <c r="E104" i="231" s="1"/>
  <c r="F96" i="216"/>
  <c r="F104" i="231" s="1"/>
  <c r="E97" i="216"/>
  <c r="E105" i="231" s="1"/>
  <c r="D98" i="216"/>
  <c r="D106" i="231" s="1"/>
  <c r="B24" i="237" s="1"/>
  <c r="E98" i="216"/>
  <c r="E106" i="231" s="1"/>
  <c r="F98" i="216"/>
  <c r="F106" i="231" s="1"/>
  <c r="E99" i="216"/>
  <c r="E107" i="231" s="1"/>
  <c r="E100" i="216"/>
  <c r="E108" i="231" s="1"/>
  <c r="F100" i="216"/>
  <c r="F108" i="231" s="1"/>
  <c r="E101" i="216"/>
  <c r="E109" i="231" s="1"/>
  <c r="D102" i="216"/>
  <c r="D110" i="231" s="1"/>
  <c r="B28" i="237" s="1"/>
  <c r="E102" i="216"/>
  <c r="E110" i="231" s="1"/>
  <c r="F102" i="216"/>
  <c r="F110" i="231" s="1"/>
  <c r="E103" i="216"/>
  <c r="E111" i="231" s="1"/>
  <c r="E104" i="216"/>
  <c r="E112" i="231" s="1"/>
  <c r="F104" i="216"/>
  <c r="F112" i="231" s="1"/>
  <c r="E105" i="216"/>
  <c r="E113" i="231" s="1"/>
  <c r="D106" i="216"/>
  <c r="E32" i="237" s="1"/>
  <c r="E106" i="216"/>
  <c r="E114" i="231" s="1"/>
  <c r="F106" i="216"/>
  <c r="F114" i="231" s="1"/>
  <c r="E107" i="216"/>
  <c r="E115" i="231" s="1"/>
  <c r="E116" i="231"/>
  <c r="F108" i="216"/>
  <c r="F116" i="231" s="1"/>
  <c r="D109" i="216"/>
  <c r="E37" i="237" s="1"/>
  <c r="E109" i="216"/>
  <c r="E117" i="231" s="1"/>
  <c r="F109" i="216"/>
  <c r="F117" i="231" s="1"/>
  <c r="E110" i="216"/>
  <c r="E118" i="231" s="1"/>
  <c r="F83" i="216"/>
  <c r="F91" i="231" s="1"/>
  <c r="E83" i="216"/>
  <c r="E91" i="231" s="1"/>
  <c r="D83" i="216"/>
  <c r="D91" i="231" s="1"/>
  <c r="B9" i="237" s="1"/>
  <c r="B102" i="219"/>
  <c r="E102" i="219" s="1"/>
  <c r="C102" i="219"/>
  <c r="D40" i="231"/>
  <c r="B58" i="219" s="1"/>
  <c r="E58" i="219" s="1"/>
  <c r="D43" i="231"/>
  <c r="B61" i="219" s="1"/>
  <c r="E61" i="219" s="1"/>
  <c r="D44" i="231"/>
  <c r="B62" i="219" s="1"/>
  <c r="E62" i="219" s="1"/>
  <c r="D45" i="231"/>
  <c r="B63" i="219" s="1"/>
  <c r="E63" i="219" s="1"/>
  <c r="D46" i="231"/>
  <c r="B64" i="219" s="1"/>
  <c r="E64" i="219" s="1"/>
  <c r="D47" i="231"/>
  <c r="B65" i="219" s="1"/>
  <c r="E65" i="219" s="1"/>
  <c r="D48" i="231"/>
  <c r="B66" i="219" s="1"/>
  <c r="E66" i="219" s="1"/>
  <c r="D39" i="231"/>
  <c r="B57" i="219" s="1"/>
  <c r="E57" i="219" s="1"/>
  <c r="E47" i="231"/>
  <c r="C65" i="219" s="1"/>
  <c r="E48" i="231"/>
  <c r="C66" i="219" s="1"/>
  <c r="E39" i="231"/>
  <c r="C57" i="219" s="1"/>
  <c r="E40" i="231"/>
  <c r="C58" i="219" s="1"/>
  <c r="E43" i="231"/>
  <c r="C61" i="219" s="1"/>
  <c r="E44" i="231"/>
  <c r="C62" i="219" s="1"/>
  <c r="E45" i="231"/>
  <c r="C63" i="219" s="1"/>
  <c r="E46" i="231"/>
  <c r="C64" i="219" s="1"/>
  <c r="D6" i="236"/>
  <c r="E40" i="219"/>
  <c r="AI32" i="242"/>
  <c r="AI6" i="242"/>
  <c r="AG32" i="242"/>
  <c r="AF32" i="242"/>
  <c r="AF6" i="242"/>
  <c r="AC32" i="242"/>
  <c r="AB32" i="242"/>
  <c r="AB6" i="242"/>
  <c r="AA32" i="242"/>
  <c r="AA6" i="242"/>
  <c r="X32" i="242"/>
  <c r="X6" i="242"/>
  <c r="T32" i="242"/>
  <c r="T6" i="242"/>
  <c r="S32" i="242"/>
  <c r="S6" i="242"/>
  <c r="R32" i="242"/>
  <c r="R6" i="242"/>
  <c r="K24" i="242"/>
  <c r="AH32" i="242"/>
  <c r="AE32" i="242"/>
  <c r="AE6" i="242"/>
  <c r="AD32" i="242"/>
  <c r="Z32" i="242"/>
  <c r="Z6" i="242"/>
  <c r="Y32" i="242"/>
  <c r="Y6" i="242"/>
  <c r="W32" i="242"/>
  <c r="W6" i="242"/>
  <c r="V32" i="242"/>
  <c r="V6" i="242"/>
  <c r="U32" i="242"/>
  <c r="U6" i="242"/>
  <c r="Q32" i="242"/>
  <c r="Q6" i="242"/>
  <c r="P32" i="242"/>
  <c r="P6" i="242"/>
  <c r="O32" i="242"/>
  <c r="O6" i="242"/>
  <c r="N32" i="242"/>
  <c r="N6" i="242"/>
  <c r="M32" i="242"/>
  <c r="L32" i="242"/>
  <c r="L6" i="242"/>
  <c r="E35" i="219"/>
  <c r="C35" i="219"/>
  <c r="B35" i="219"/>
  <c r="D18" i="219"/>
  <c r="D35" i="231"/>
  <c r="B53" i="219" s="1"/>
  <c r="D34" i="231"/>
  <c r="B52" i="219" s="1"/>
  <c r="D33" i="231"/>
  <c r="B51" i="219" s="1"/>
  <c r="D32" i="231"/>
  <c r="B50" i="219" s="1"/>
  <c r="D31" i="231"/>
  <c r="B49" i="219" s="1"/>
  <c r="D30" i="231"/>
  <c r="B48" i="219" s="1"/>
  <c r="D29" i="231"/>
  <c r="B47" i="219" s="1"/>
  <c r="D28" i="231"/>
  <c r="B46" i="219" s="1"/>
  <c r="E35" i="231"/>
  <c r="C53" i="219" s="1"/>
  <c r="E34" i="231"/>
  <c r="C52" i="219" s="1"/>
  <c r="E33" i="231"/>
  <c r="C51" i="219" s="1"/>
  <c r="E32" i="231"/>
  <c r="C50" i="219" s="1"/>
  <c r="E31" i="231"/>
  <c r="C49" i="219" s="1"/>
  <c r="E30" i="231"/>
  <c r="C48" i="219" s="1"/>
  <c r="E29" i="231"/>
  <c r="C47" i="219" s="1"/>
  <c r="E28" i="231"/>
  <c r="C46" i="219" s="1"/>
  <c r="E68" i="231"/>
  <c r="C86" i="219" s="1"/>
  <c r="E67" i="231"/>
  <c r="C85" i="219" s="1"/>
  <c r="E65" i="231"/>
  <c r="C83" i="219" s="1"/>
  <c r="E64" i="231"/>
  <c r="C82" i="219" s="1"/>
  <c r="E62" i="231"/>
  <c r="C80" i="219" s="1"/>
  <c r="B86" i="219"/>
  <c r="D86" i="219" s="1"/>
  <c r="B85" i="219"/>
  <c r="D85" i="219" s="1"/>
  <c r="B83" i="219"/>
  <c r="D83" i="219" s="1"/>
  <c r="B82" i="219"/>
  <c r="D82" i="219" s="1"/>
  <c r="B80" i="219"/>
  <c r="D80" i="219" s="1"/>
  <c r="B77" i="219"/>
  <c r="D77" i="219" s="1"/>
  <c r="B79" i="219"/>
  <c r="D79" i="219" s="1"/>
  <c r="E61" i="231"/>
  <c r="C79" i="219" s="1"/>
  <c r="E59" i="231"/>
  <c r="C77" i="219" s="1"/>
  <c r="E58" i="231"/>
  <c r="C76" i="219" s="1"/>
  <c r="B76" i="219"/>
  <c r="D76" i="219" s="1"/>
  <c r="D18" i="236"/>
  <c r="AH6" i="242"/>
  <c r="AG6" i="242"/>
  <c r="AD6" i="242"/>
  <c r="AC6" i="242"/>
  <c r="M6" i="242"/>
  <c r="K6" i="242"/>
  <c r="J6" i="242"/>
  <c r="I6" i="242"/>
  <c r="H6" i="242"/>
  <c r="G6" i="242"/>
  <c r="F6" i="242"/>
  <c r="E6" i="242"/>
  <c r="D19" i="236"/>
  <c r="D20" i="236"/>
  <c r="J7" i="242"/>
  <c r="I7" i="242"/>
  <c r="H7" i="242"/>
  <c r="G7" i="242"/>
  <c r="F7" i="242"/>
  <c r="E7" i="242"/>
  <c r="D19" i="219"/>
  <c r="D17" i="219"/>
  <c r="C5" i="239"/>
  <c r="D21" i="236"/>
  <c r="G52" i="239"/>
  <c r="T9" i="239" s="1"/>
  <c r="G51" i="239"/>
  <c r="T8" i="239" s="1"/>
  <c r="G50" i="239"/>
  <c r="T7" i="239" s="1"/>
  <c r="G49" i="239"/>
  <c r="T6" i="239" s="1"/>
  <c r="G54" i="239"/>
  <c r="T11" i="239" s="1"/>
  <c r="G53" i="239"/>
  <c r="T10" i="239" s="1"/>
  <c r="E53" i="219"/>
  <c r="E52" i="219"/>
  <c r="E51" i="219"/>
  <c r="E50" i="219"/>
  <c r="E49" i="219"/>
  <c r="E48" i="219"/>
  <c r="E47" i="219"/>
  <c r="D16" i="219"/>
  <c r="D14" i="219"/>
  <c r="D15" i="219"/>
  <c r="D24" i="236"/>
  <c r="E87" i="231"/>
  <c r="C101" i="219" s="1"/>
  <c r="E86" i="231"/>
  <c r="C100" i="219" s="1"/>
  <c r="E85" i="231"/>
  <c r="C99" i="219" s="1"/>
  <c r="E84" i="231"/>
  <c r="C98" i="219" s="1"/>
  <c r="E83" i="231"/>
  <c r="C97" i="219" s="1"/>
  <c r="D25" i="236"/>
  <c r="D26" i="236"/>
  <c r="D27" i="236"/>
  <c r="E93" i="219"/>
  <c r="E94" i="219"/>
  <c r="E95" i="219"/>
  <c r="E96" i="219"/>
  <c r="D97" i="219"/>
  <c r="D98" i="219"/>
  <c r="D100" i="219"/>
  <c r="D101" i="219"/>
  <c r="D87" i="231"/>
  <c r="B101" i="219" s="1"/>
  <c r="D86" i="231"/>
  <c r="B100" i="219" s="1"/>
  <c r="D85" i="231"/>
  <c r="B99" i="219" s="1"/>
  <c r="D84" i="231"/>
  <c r="B98" i="219" s="1"/>
  <c r="D83" i="231"/>
  <c r="B97" i="219" s="1"/>
  <c r="D79" i="231"/>
  <c r="B93" i="219" s="1"/>
  <c r="D80" i="231"/>
  <c r="B94" i="219" s="1"/>
  <c r="D81" i="231"/>
  <c r="B95" i="219" s="1"/>
  <c r="D82" i="231"/>
  <c r="B96" i="219" s="1"/>
  <c r="D78" i="231"/>
  <c r="B92" i="219" s="1"/>
  <c r="E82" i="231"/>
  <c r="C96" i="219" s="1"/>
  <c r="E81" i="231"/>
  <c r="C95" i="219" s="1"/>
  <c r="E80" i="231"/>
  <c r="C94" i="219" s="1"/>
  <c r="E79" i="231"/>
  <c r="C93" i="219" s="1"/>
  <c r="D28" i="236"/>
  <c r="E78" i="231"/>
  <c r="C92" i="219" s="1"/>
  <c r="E92" i="219"/>
  <c r="D29" i="236"/>
  <c r="D30" i="236"/>
  <c r="D31" i="236"/>
  <c r="B8" i="237"/>
  <c r="D32" i="236"/>
  <c r="D34" i="236"/>
  <c r="D35" i="236"/>
  <c r="E49" i="231"/>
  <c r="C67" i="219" s="1"/>
  <c r="B68" i="219"/>
  <c r="D68" i="219" s="1"/>
  <c r="D49" i="231"/>
  <c r="B67" i="219" s="1"/>
  <c r="D67" i="219" s="1"/>
  <c r="AY15" i="235"/>
  <c r="AU9" i="235"/>
  <c r="C56" i="219"/>
  <c r="B56" i="219"/>
  <c r="D37" i="236"/>
  <c r="D36" i="236"/>
  <c r="E24" i="219"/>
  <c r="E57" i="231"/>
  <c r="C75" i="219" s="1"/>
  <c r="B75" i="219"/>
  <c r="D75" i="219" s="1"/>
  <c r="E56" i="231"/>
  <c r="C74" i="219" s="1"/>
  <c r="B74" i="219"/>
  <c r="D74" i="219" s="1"/>
  <c r="E55" i="231"/>
  <c r="C73" i="219" s="1"/>
  <c r="B73" i="219"/>
  <c r="D73" i="219" s="1"/>
  <c r="E54" i="231"/>
  <c r="C72" i="219" s="1"/>
  <c r="B72" i="219"/>
  <c r="D72" i="219" s="1"/>
  <c r="E53" i="231"/>
  <c r="C71" i="219" s="1"/>
  <c r="B71" i="219"/>
  <c r="D71" i="219" s="1"/>
  <c r="E52" i="231"/>
  <c r="C70" i="219" s="1"/>
  <c r="B70" i="219"/>
  <c r="D70" i="219" s="1"/>
  <c r="E51" i="231"/>
  <c r="C69" i="219" s="1"/>
  <c r="B69" i="219"/>
  <c r="D69" i="219" s="1"/>
  <c r="E50" i="231"/>
  <c r="C68" i="219" s="1"/>
  <c r="E36" i="219"/>
  <c r="D5" i="239"/>
  <c r="G7" i="239"/>
  <c r="G8" i="239"/>
  <c r="G9" i="239"/>
  <c r="G10" i="239"/>
  <c r="G11" i="239"/>
  <c r="G6" i="239"/>
  <c r="F5" i="239"/>
  <c r="AZ87" i="238"/>
  <c r="AZ86" i="238"/>
  <c r="AZ85" i="238"/>
  <c r="AZ84" i="238"/>
  <c r="AZ83" i="238"/>
  <c r="AZ82" i="238"/>
  <c r="AZ81" i="238"/>
  <c r="E14" i="239"/>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c r="CT30" i="238"/>
  <c r="AV69" i="238"/>
  <c r="AV87" i="238"/>
  <c r="CS30" i="238"/>
  <c r="AU69" i="238"/>
  <c r="AU87" i="238"/>
  <c r="CR30" i="238"/>
  <c r="AT69" i="238"/>
  <c r="AT87" i="238"/>
  <c r="CQ30" i="238"/>
  <c r="AS69" i="238"/>
  <c r="AS87" i="238"/>
  <c r="CP30" i="238"/>
  <c r="AR69" i="238"/>
  <c r="AR87" i="238"/>
  <c r="CO30" i="238"/>
  <c r="AQ69" i="238"/>
  <c r="AQ87" i="238"/>
  <c r="CN30" i="238"/>
  <c r="AP69" i="238"/>
  <c r="AP87" i="238"/>
  <c r="CM30" i="238"/>
  <c r="AO69" i="238"/>
  <c r="AO87" i="238"/>
  <c r="CL30" i="238"/>
  <c r="AN69" i="238"/>
  <c r="AN87" i="238"/>
  <c r="CK30" i="238"/>
  <c r="AM69" i="238"/>
  <c r="AM87" i="238"/>
  <c r="CJ30" i="238"/>
  <c r="AL69" i="238"/>
  <c r="AL87" i="238"/>
  <c r="CI30" i="238"/>
  <c r="AK69" i="238"/>
  <c r="AK87" i="238"/>
  <c r="CH30" i="238"/>
  <c r="AJ69" i="238"/>
  <c r="AJ87" i="238"/>
  <c r="CG30" i="238"/>
  <c r="AI69" i="238"/>
  <c r="AI87" i="238"/>
  <c r="CF30" i="238"/>
  <c r="AH69" i="238"/>
  <c r="AH87" i="238"/>
  <c r="CE30" i="238"/>
  <c r="AG69" i="238"/>
  <c r="AG87" i="238"/>
  <c r="CD30" i="238"/>
  <c r="AF69" i="238"/>
  <c r="AF87" i="238"/>
  <c r="CC30" i="238"/>
  <c r="AE69" i="238"/>
  <c r="AE87" i="238"/>
  <c r="CB30" i="238"/>
  <c r="AD69" i="238"/>
  <c r="AD87" i="238"/>
  <c r="CA30" i="238"/>
  <c r="AC69" i="238"/>
  <c r="AC87" i="238"/>
  <c r="BZ30" i="238"/>
  <c r="AB69" i="238"/>
  <c r="AB87" i="238"/>
  <c r="BY30" i="238"/>
  <c r="AA69" i="238"/>
  <c r="AA87" i="238"/>
  <c r="BX30" i="238"/>
  <c r="Z69" i="238"/>
  <c r="Z87" i="238"/>
  <c r="Y69" i="238"/>
  <c r="Y87" i="238"/>
  <c r="BV30" i="238"/>
  <c r="X69" i="238"/>
  <c r="X87" i="238"/>
  <c r="BU30" i="238"/>
  <c r="W69" i="238"/>
  <c r="W87" i="238"/>
  <c r="BT30" i="238"/>
  <c r="V69" i="238"/>
  <c r="V87" i="238"/>
  <c r="BS30" i="238"/>
  <c r="U69" i="238"/>
  <c r="U87" i="238"/>
  <c r="BR30" i="238"/>
  <c r="T69" i="238"/>
  <c r="T87" i="238"/>
  <c r="BQ30" i="238"/>
  <c r="S69" i="238"/>
  <c r="S87" i="238"/>
  <c r="BP30" i="238"/>
  <c r="R69" i="238"/>
  <c r="R87" i="238"/>
  <c r="BO30" i="238"/>
  <c r="Q69" i="238"/>
  <c r="Q87" i="238"/>
  <c r="BN30" i="238"/>
  <c r="P69" i="238"/>
  <c r="P87" i="238"/>
  <c r="BM30" i="238"/>
  <c r="O69" i="238"/>
  <c r="O87" i="238"/>
  <c r="BL30" i="238"/>
  <c r="N69" i="238"/>
  <c r="N87" i="238"/>
  <c r="BK30" i="238"/>
  <c r="M69" i="238"/>
  <c r="M87" i="238"/>
  <c r="BJ30" i="238"/>
  <c r="L69" i="238"/>
  <c r="L87" i="238"/>
  <c r="BI30" i="238"/>
  <c r="K69" i="238"/>
  <c r="K87" i="238"/>
  <c r="BH30" i="238"/>
  <c r="J69" i="238"/>
  <c r="J87" i="238"/>
  <c r="BG30" i="238"/>
  <c r="I69" i="238"/>
  <c r="I87" i="238"/>
  <c r="H69" i="238"/>
  <c r="H87" i="238"/>
  <c r="BE30" i="238"/>
  <c r="G69" i="238"/>
  <c r="G87" i="238"/>
  <c r="BD30" i="238"/>
  <c r="F69" i="238"/>
  <c r="F87" i="238"/>
  <c r="BC30" i="238"/>
  <c r="E69" i="238"/>
  <c r="E87" i="238"/>
  <c r="BB30" i="238"/>
  <c r="D69" i="238"/>
  <c r="D87" i="238"/>
  <c r="BA30" i="238"/>
  <c r="C69" i="238"/>
  <c r="C87" i="238"/>
  <c r="AZ30" i="238"/>
  <c r="AW68" i="238"/>
  <c r="AW86" i="238"/>
  <c r="CT29" i="238"/>
  <c r="AV68" i="238"/>
  <c r="AV86" i="238"/>
  <c r="CS29" i="238"/>
  <c r="AU68" i="238"/>
  <c r="AU86" i="238"/>
  <c r="AT68" i="238"/>
  <c r="AT86" i="238"/>
  <c r="CQ29" i="238"/>
  <c r="AS68" i="238"/>
  <c r="AS86" i="238"/>
  <c r="CP29" i="238"/>
  <c r="AR68" i="238"/>
  <c r="AR86" i="238"/>
  <c r="CO29" i="238"/>
  <c r="AQ68" i="238"/>
  <c r="AQ86" i="238"/>
  <c r="CN29" i="238"/>
  <c r="AP68" i="238"/>
  <c r="AP86" i="238"/>
  <c r="AO68" i="238"/>
  <c r="AO86" i="238"/>
  <c r="CL29" i="238"/>
  <c r="AN68" i="238"/>
  <c r="AN86" i="238"/>
  <c r="CK29" i="238"/>
  <c r="AM68" i="238"/>
  <c r="AM86" i="238"/>
  <c r="CJ29" i="238"/>
  <c r="AL68" i="238"/>
  <c r="AL86" i="238"/>
  <c r="CI29" i="238"/>
  <c r="AK68" i="238"/>
  <c r="AK86" i="238"/>
  <c r="CH29" i="238"/>
  <c r="AJ68" i="238"/>
  <c r="AJ86" i="238"/>
  <c r="CG29" i="238"/>
  <c r="AI68" i="238"/>
  <c r="AI86" i="238"/>
  <c r="CF29" i="238"/>
  <c r="AH68" i="238"/>
  <c r="AH86" i="238"/>
  <c r="CE29" i="238"/>
  <c r="AG68" i="238"/>
  <c r="AG86" i="238"/>
  <c r="CD29" i="238"/>
  <c r="AF68" i="238"/>
  <c r="AF86" i="238"/>
  <c r="CC29" i="238"/>
  <c r="AE68" i="238"/>
  <c r="AE86" i="238"/>
  <c r="CB29" i="238"/>
  <c r="AD68" i="238"/>
  <c r="AD86" i="238"/>
  <c r="CA29" i="238"/>
  <c r="AC68" i="238"/>
  <c r="AC86" i="238"/>
  <c r="BZ29" i="238"/>
  <c r="AB68" i="238"/>
  <c r="AB86" i="238"/>
  <c r="BY29" i="238"/>
  <c r="AA68" i="238"/>
  <c r="AA86" i="238"/>
  <c r="BX29" i="238"/>
  <c r="Z68" i="238"/>
  <c r="Z86" i="238"/>
  <c r="BW29" i="238"/>
  <c r="Y68" i="238"/>
  <c r="Y86" i="238"/>
  <c r="BV29" i="238"/>
  <c r="X68" i="238"/>
  <c r="X86" i="238"/>
  <c r="BU29" i="238"/>
  <c r="W68" i="238"/>
  <c r="W86" i="238"/>
  <c r="BT29" i="238"/>
  <c r="V68" i="238"/>
  <c r="V86" i="238"/>
  <c r="BS29" i="238"/>
  <c r="U68" i="238"/>
  <c r="U86" i="238"/>
  <c r="BR29" i="238"/>
  <c r="T68" i="238"/>
  <c r="T86" i="238"/>
  <c r="BQ29" i="238"/>
  <c r="S68" i="238"/>
  <c r="S86" i="238"/>
  <c r="BP29" i="238"/>
  <c r="R68" i="238"/>
  <c r="R86" i="238"/>
  <c r="BO29" i="238"/>
  <c r="Q68" i="238"/>
  <c r="Q86" i="238"/>
  <c r="BN29" i="238"/>
  <c r="P68" i="238"/>
  <c r="P86" i="238"/>
  <c r="BM29" i="238"/>
  <c r="O68" i="238"/>
  <c r="O86" i="238"/>
  <c r="BL29" i="238"/>
  <c r="N68" i="238"/>
  <c r="N86" i="238"/>
  <c r="BK29" i="238"/>
  <c r="M68" i="238"/>
  <c r="M86" i="238"/>
  <c r="BJ29" i="238"/>
  <c r="L68" i="238"/>
  <c r="L86" i="238"/>
  <c r="BI29" i="238"/>
  <c r="K68" i="238"/>
  <c r="K86" i="238"/>
  <c r="BH29" i="238"/>
  <c r="J68" i="238"/>
  <c r="J86" i="238"/>
  <c r="BG29" i="238"/>
  <c r="I68" i="238"/>
  <c r="I86" i="238"/>
  <c r="BF29" i="238"/>
  <c r="H68" i="238"/>
  <c r="H86" i="238"/>
  <c r="BE29" i="238"/>
  <c r="G68" i="238"/>
  <c r="G86" i="238"/>
  <c r="BD29" i="238"/>
  <c r="F68" i="238"/>
  <c r="F86" i="238"/>
  <c r="BC29" i="238"/>
  <c r="E68" i="238"/>
  <c r="E86" i="238"/>
  <c r="BB29" i="238"/>
  <c r="D68" i="238"/>
  <c r="D86" i="238"/>
  <c r="C68" i="238"/>
  <c r="C86" i="238"/>
  <c r="AZ29" i="238"/>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W59" i="238"/>
  <c r="AW60" i="238"/>
  <c r="AW61" i="238"/>
  <c r="AW62" i="238"/>
  <c r="AW63" i="238"/>
  <c r="CT26" i="238"/>
  <c r="J11" i="239"/>
  <c r="AV64" i="238"/>
  <c r="AV61" i="238"/>
  <c r="AV59" i="238"/>
  <c r="AV60" i="238"/>
  <c r="AV62" i="238"/>
  <c r="AV63" i="238"/>
  <c r="CS23" i="238"/>
  <c r="AU64" i="238"/>
  <c r="AU59" i="238"/>
  <c r="AU60" i="238"/>
  <c r="AU61" i="238"/>
  <c r="AU62" i="238"/>
  <c r="AU63" i="238"/>
  <c r="CR26" i="238"/>
  <c r="I11" i="239"/>
  <c r="AT64" i="238"/>
  <c r="AS64" i="238"/>
  <c r="AR64" i="238"/>
  <c r="AR59" i="238"/>
  <c r="AR60" i="238"/>
  <c r="AR61" i="238"/>
  <c r="AR62" i="238"/>
  <c r="AR63" i="238"/>
  <c r="CO26" i="238"/>
  <c r="AQ64" i="238"/>
  <c r="AP64" i="238"/>
  <c r="AO64" i="238"/>
  <c r="AN64" i="238"/>
  <c r="AM64" i="238"/>
  <c r="AL64" i="238"/>
  <c r="AL59" i="238"/>
  <c r="AL60" i="238"/>
  <c r="AL61" i="238"/>
  <c r="AL62" i="238"/>
  <c r="AL63" i="238"/>
  <c r="CI26" i="238"/>
  <c r="AK64" i="238"/>
  <c r="AJ64" i="238"/>
  <c r="AI64" i="238"/>
  <c r="AH64" i="238"/>
  <c r="AG64" i="238"/>
  <c r="AF64" i="238"/>
  <c r="AE64" i="238"/>
  <c r="AD64" i="238"/>
  <c r="AC64" i="238"/>
  <c r="AB64" i="238"/>
  <c r="AA64" i="238"/>
  <c r="Z64" i="238"/>
  <c r="Y64" i="238"/>
  <c r="Y59" i="238"/>
  <c r="Y60" i="238"/>
  <c r="Y61" i="238"/>
  <c r="Y62" i="238"/>
  <c r="Y63" i="238"/>
  <c r="BV26" i="238"/>
  <c r="X64" i="238"/>
  <c r="W64" i="238"/>
  <c r="W62" i="238"/>
  <c r="W59" i="238"/>
  <c r="W60" i="238"/>
  <c r="W61" i="238"/>
  <c r="W63" i="238"/>
  <c r="BT24" i="238"/>
  <c r="V64" i="238"/>
  <c r="U64" i="238"/>
  <c r="T64" i="238"/>
  <c r="S64" i="238"/>
  <c r="R64" i="238"/>
  <c r="Q64" i="238"/>
  <c r="P64" i="238"/>
  <c r="O64" i="238"/>
  <c r="N64" i="238"/>
  <c r="M64" i="238"/>
  <c r="L64" i="238"/>
  <c r="K64" i="238"/>
  <c r="J64" i="238"/>
  <c r="I64" i="238"/>
  <c r="H64" i="238"/>
  <c r="G64" i="238"/>
  <c r="F64" i="238"/>
  <c r="E64" i="238"/>
  <c r="D64" i="238"/>
  <c r="C64" i="238"/>
  <c r="C59" i="238"/>
  <c r="C60" i="238"/>
  <c r="C61" i="238"/>
  <c r="C62" i="238"/>
  <c r="C63" i="238"/>
  <c r="AZ26" i="238"/>
  <c r="AT63" i="238"/>
  <c r="AT59" i="238"/>
  <c r="AT60" i="238"/>
  <c r="AT61" i="238"/>
  <c r="AT62" i="238"/>
  <c r="CQ25" i="238"/>
  <c r="AS63" i="238"/>
  <c r="AQ63" i="238"/>
  <c r="AQ59" i="238"/>
  <c r="AQ60" i="238"/>
  <c r="AQ61" i="238"/>
  <c r="AQ62" i="238"/>
  <c r="CN33" i="238"/>
  <c r="AQ56" i="238"/>
  <c r="AQ74" i="238"/>
  <c r="CN28" i="238"/>
  <c r="AQ57" i="238"/>
  <c r="AQ75" i="238"/>
  <c r="CN27" i="238"/>
  <c r="CN35" i="238"/>
  <c r="CN21" i="238"/>
  <c r="AP63" i="238"/>
  <c r="AO63" i="238"/>
  <c r="AN63" i="238"/>
  <c r="AM63" i="238"/>
  <c r="AK63" i="238"/>
  <c r="AJ63" i="238"/>
  <c r="AI63" i="238"/>
  <c r="AH63" i="238"/>
  <c r="AG63" i="238"/>
  <c r="AF63" i="238"/>
  <c r="AE63" i="238"/>
  <c r="AD63" i="238"/>
  <c r="AC63" i="238"/>
  <c r="AB63" i="238"/>
  <c r="AB59" i="238"/>
  <c r="AB60" i="238"/>
  <c r="AB61" i="238"/>
  <c r="AB62" i="238"/>
  <c r="BY25" i="238"/>
  <c r="AA63" i="238"/>
  <c r="Z63" i="238"/>
  <c r="X63" i="238"/>
  <c r="V63" i="238"/>
  <c r="U63" i="238"/>
  <c r="T63" i="238"/>
  <c r="S63" i="238"/>
  <c r="S59" i="238"/>
  <c r="S60" i="238"/>
  <c r="S61" i="238"/>
  <c r="S62" i="238"/>
  <c r="BP25" i="238"/>
  <c r="R63" i="238"/>
  <c r="Q63" i="238"/>
  <c r="Q59" i="238"/>
  <c r="Q60" i="238"/>
  <c r="Q61" i="238"/>
  <c r="Q62" i="238"/>
  <c r="BN25" i="238"/>
  <c r="P63" i="238"/>
  <c r="P59" i="238"/>
  <c r="P60" i="238"/>
  <c r="P61" i="238"/>
  <c r="P62" i="238"/>
  <c r="BM25" i="238"/>
  <c r="O63" i="238"/>
  <c r="N63" i="238"/>
  <c r="M63" i="238"/>
  <c r="L63" i="238"/>
  <c r="K63" i="238"/>
  <c r="J63" i="238"/>
  <c r="I63" i="238"/>
  <c r="I59" i="238"/>
  <c r="I60" i="238"/>
  <c r="I61" i="238"/>
  <c r="I62" i="238"/>
  <c r="BF25" i="238"/>
  <c r="H63" i="238"/>
  <c r="G63" i="238"/>
  <c r="F63" i="238"/>
  <c r="E63" i="238"/>
  <c r="D63" i="238"/>
  <c r="AZ25" i="238"/>
  <c r="AS62" i="238"/>
  <c r="AP62" i="238"/>
  <c r="AO62" i="238"/>
  <c r="AO59" i="238"/>
  <c r="AO60" i="238"/>
  <c r="AO61" i="238"/>
  <c r="CL24" i="238"/>
  <c r="AN62" i="238"/>
  <c r="AM62" i="238"/>
  <c r="AM59" i="238"/>
  <c r="AM60" i="238"/>
  <c r="AM61" i="238"/>
  <c r="CJ24" i="238"/>
  <c r="AK62" i="238"/>
  <c r="AJ62" i="238"/>
  <c r="AJ59" i="238"/>
  <c r="AJ60" i="238"/>
  <c r="AJ61" i="238"/>
  <c r="CG24" i="238"/>
  <c r="AI62" i="238"/>
  <c r="AH62" i="238"/>
  <c r="AG62" i="238"/>
  <c r="AF62" i="238"/>
  <c r="AE62" i="238"/>
  <c r="AD62" i="238"/>
  <c r="AC62" i="238"/>
  <c r="AA62" i="238"/>
  <c r="Z62" i="238"/>
  <c r="X62" i="238"/>
  <c r="V62" i="238"/>
  <c r="U62" i="238"/>
  <c r="U59" i="238"/>
  <c r="U60" i="238"/>
  <c r="U61" i="238"/>
  <c r="BR21" i="238"/>
  <c r="T62" i="238"/>
  <c r="BP33" i="238"/>
  <c r="R62" i="238"/>
  <c r="O62" i="238"/>
  <c r="N62" i="238"/>
  <c r="N59" i="238"/>
  <c r="N60" i="238"/>
  <c r="N61" i="238"/>
  <c r="BK24" i="238"/>
  <c r="M62" i="238"/>
  <c r="L62" i="238"/>
  <c r="K62" i="238"/>
  <c r="K59" i="238"/>
  <c r="K60" i="238"/>
  <c r="K61" i="238"/>
  <c r="BH24" i="238"/>
  <c r="J62" i="238"/>
  <c r="J59" i="238"/>
  <c r="J60" i="238"/>
  <c r="J61" i="238"/>
  <c r="BG24" i="238"/>
  <c r="H62" i="238"/>
  <c r="G62" i="238"/>
  <c r="F62" i="238"/>
  <c r="E62" i="238"/>
  <c r="D62" i="238"/>
  <c r="D59" i="238"/>
  <c r="D60" i="238"/>
  <c r="D61" i="238"/>
  <c r="BA24" i="238"/>
  <c r="CR23" i="238"/>
  <c r="I8" i="239"/>
  <c r="AS61" i="238"/>
  <c r="AS59" i="238"/>
  <c r="AS60" i="238"/>
  <c r="CP25" i="238"/>
  <c r="AP61" i="238"/>
  <c r="AP59" i="238"/>
  <c r="AP60" i="238"/>
  <c r="CM25" i="238"/>
  <c r="AN61" i="238"/>
  <c r="AN59" i="238"/>
  <c r="AN60" i="238"/>
  <c r="CK23" i="238"/>
  <c r="AK61" i="238"/>
  <c r="AI61" i="238"/>
  <c r="AH61" i="238"/>
  <c r="AG61" i="238"/>
  <c r="AF61" i="238"/>
  <c r="AE61" i="238"/>
  <c r="AD61" i="238"/>
  <c r="AC61" i="238"/>
  <c r="AA61" i="238"/>
  <c r="Z61" i="238"/>
  <c r="X61" i="238"/>
  <c r="V61" i="238"/>
  <c r="T61" i="238"/>
  <c r="BP26" i="238"/>
  <c r="R61" i="238"/>
  <c r="BN22" i="238"/>
  <c r="O61" i="238"/>
  <c r="O59" i="238"/>
  <c r="O60" i="238"/>
  <c r="BL23" i="238"/>
  <c r="M61" i="238"/>
  <c r="M59" i="238"/>
  <c r="M60" i="238"/>
  <c r="BJ23" i="238"/>
  <c r="L61" i="238"/>
  <c r="BH33" i="238"/>
  <c r="H61" i="238"/>
  <c r="G61" i="238"/>
  <c r="F61" i="238"/>
  <c r="E61" i="238"/>
  <c r="CN22" i="238"/>
  <c r="AK60" i="238"/>
  <c r="AK59" i="238"/>
  <c r="CH26" i="238"/>
  <c r="AI60" i="238"/>
  <c r="AI59" i="238"/>
  <c r="CF24" i="238"/>
  <c r="AH60" i="238"/>
  <c r="AH59" i="238"/>
  <c r="CE25" i="238"/>
  <c r="AG60" i="238"/>
  <c r="AF60" i="238"/>
  <c r="AE60" i="238"/>
  <c r="AD60" i="238"/>
  <c r="AC60" i="238"/>
  <c r="AA60" i="238"/>
  <c r="AA59" i="238"/>
  <c r="BX25" i="238"/>
  <c r="Z60" i="238"/>
  <c r="X60" i="238"/>
  <c r="V60" i="238"/>
  <c r="T60" i="238"/>
  <c r="BP22" i="238"/>
  <c r="R60" i="238"/>
  <c r="BJ21" i="238"/>
  <c r="L60" i="238"/>
  <c r="L59" i="238"/>
  <c r="BI23" i="238"/>
  <c r="H60" i="238"/>
  <c r="G60" i="238"/>
  <c r="F60" i="238"/>
  <c r="F59" i="238"/>
  <c r="BC22" i="238"/>
  <c r="E60" i="238"/>
  <c r="BA22" i="238"/>
  <c r="CJ21" i="238"/>
  <c r="AG59" i="238"/>
  <c r="AF59" i="238"/>
  <c r="AE59" i="238"/>
  <c r="AD59" i="238"/>
  <c r="AC59" i="238"/>
  <c r="BX33" i="238"/>
  <c r="AA56" i="238"/>
  <c r="AA74" i="238"/>
  <c r="BX28" i="238"/>
  <c r="AA57" i="238"/>
  <c r="AA75" i="238"/>
  <c r="BX27" i="238"/>
  <c r="BX35" i="238"/>
  <c r="Z59" i="238"/>
  <c r="BW26" i="238"/>
  <c r="X59" i="238"/>
  <c r="BU33" i="238"/>
  <c r="V59" i="238"/>
  <c r="T59" i="238"/>
  <c r="R59" i="238"/>
  <c r="BO26" i="238"/>
  <c r="H59" i="238"/>
  <c r="G59" i="238"/>
  <c r="BC25" i="238"/>
  <c r="E59" i="238"/>
  <c r="BB25" i="238"/>
  <c r="BA23"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c r="CT27" i="238"/>
  <c r="AV57" i="238"/>
  <c r="AV75" i="238"/>
  <c r="CS27" i="238"/>
  <c r="AU57" i="238"/>
  <c r="AU75" i="238"/>
  <c r="CR27" i="238"/>
  <c r="AT57" i="238"/>
  <c r="AT75" i="238"/>
  <c r="CQ27" i="238"/>
  <c r="AS57" i="238"/>
  <c r="AS75" i="238"/>
  <c r="CP27" i="238"/>
  <c r="AR57" i="238"/>
  <c r="AR75" i="238"/>
  <c r="CO27" i="238"/>
  <c r="AP57" i="238"/>
  <c r="AP75" i="238"/>
  <c r="CM27" i="238"/>
  <c r="AO57" i="238"/>
  <c r="AO75" i="238"/>
  <c r="CL27" i="238"/>
  <c r="AN57" i="238"/>
  <c r="AN75" i="238"/>
  <c r="CK27" i="238"/>
  <c r="AM57" i="238"/>
  <c r="AM75" i="238"/>
  <c r="AL57" i="238"/>
  <c r="AL75" i="238"/>
  <c r="CI27" i="238"/>
  <c r="AL56" i="238"/>
  <c r="AL74" i="238"/>
  <c r="CI28" i="238"/>
  <c r="CI32" i="238"/>
  <c r="AK57" i="238"/>
  <c r="AK75" i="238"/>
  <c r="CH27" i="238"/>
  <c r="AK56" i="238"/>
  <c r="AK74" i="238"/>
  <c r="CH28" i="238"/>
  <c r="CH32" i="238"/>
  <c r="AJ57" i="238"/>
  <c r="AJ75" i="238"/>
  <c r="CG27" i="238"/>
  <c r="AI57" i="238"/>
  <c r="AI75" i="238"/>
  <c r="CF27" i="238"/>
  <c r="AH57" i="238"/>
  <c r="AH75" i="238"/>
  <c r="CE27" i="238"/>
  <c r="AG57" i="238"/>
  <c r="AG75" i="238"/>
  <c r="CD27" i="238"/>
  <c r="AG56" i="238"/>
  <c r="AG74" i="238"/>
  <c r="CD28" i="238"/>
  <c r="CD32" i="238"/>
  <c r="AF57" i="238"/>
  <c r="AF75" i="238"/>
  <c r="CC27" i="238"/>
  <c r="AE57" i="238"/>
  <c r="AE75" i="238"/>
  <c r="CB27" i="238"/>
  <c r="AD57" i="238"/>
  <c r="AD75" i="238"/>
  <c r="CA27" i="238"/>
  <c r="AC57" i="238"/>
  <c r="AC75" i="238"/>
  <c r="AB57" i="238"/>
  <c r="AB75" i="238"/>
  <c r="BY27" i="238"/>
  <c r="BX32" i="238"/>
  <c r="Z57" i="238"/>
  <c r="Z75" i="238"/>
  <c r="BW27" i="238"/>
  <c r="Y57" i="238"/>
  <c r="Y75" i="238"/>
  <c r="BV27" i="238"/>
  <c r="Y56" i="238"/>
  <c r="Y74" i="238"/>
  <c r="BV28" i="238"/>
  <c r="BV32" i="238"/>
  <c r="X57" i="238"/>
  <c r="X75" i="238"/>
  <c r="BU27" i="238"/>
  <c r="W57" i="238"/>
  <c r="W75" i="238"/>
  <c r="BT27" i="238"/>
  <c r="V57" i="238"/>
  <c r="V75" i="238"/>
  <c r="BS27" i="238"/>
  <c r="U57" i="238"/>
  <c r="U75" i="238"/>
  <c r="BR27" i="238"/>
  <c r="T57" i="238"/>
  <c r="T75" i="238"/>
  <c r="BQ27" i="238"/>
  <c r="T56" i="238"/>
  <c r="T74" i="238"/>
  <c r="BQ28" i="238"/>
  <c r="BQ32" i="238"/>
  <c r="S57" i="238"/>
  <c r="S75" i="238"/>
  <c r="BP27" i="238"/>
  <c r="R57" i="238"/>
  <c r="R75" i="238"/>
  <c r="BO27" i="238"/>
  <c r="R56" i="238"/>
  <c r="R74" i="238"/>
  <c r="BO28" i="238"/>
  <c r="BO32" i="238"/>
  <c r="Q57" i="238"/>
  <c r="Q75" i="238"/>
  <c r="BN27" i="238"/>
  <c r="Q56" i="238"/>
  <c r="Q74" i="238"/>
  <c r="BN28" i="238"/>
  <c r="BN32" i="238"/>
  <c r="P57" i="238"/>
  <c r="P75" i="238"/>
  <c r="BM27" i="238"/>
  <c r="P56" i="238"/>
  <c r="P74" i="238"/>
  <c r="BM28" i="238"/>
  <c r="BM32" i="238"/>
  <c r="O57" i="238"/>
  <c r="O75" i="238"/>
  <c r="BL27" i="238"/>
  <c r="O56" i="238"/>
  <c r="O74" i="238"/>
  <c r="BL28" i="238"/>
  <c r="BL32" i="238"/>
  <c r="N57" i="238"/>
  <c r="N75" i="238"/>
  <c r="M57" i="238"/>
  <c r="M75" i="238"/>
  <c r="BJ27" i="238"/>
  <c r="L57" i="238"/>
  <c r="L75" i="238"/>
  <c r="K57" i="238"/>
  <c r="K75" i="238"/>
  <c r="BH27" i="238"/>
  <c r="J57" i="238"/>
  <c r="J75" i="238"/>
  <c r="BG27" i="238"/>
  <c r="I57" i="238"/>
  <c r="I75" i="238"/>
  <c r="BF27" i="238"/>
  <c r="I56" i="238"/>
  <c r="I74" i="238"/>
  <c r="BF28" i="238"/>
  <c r="BF32" i="238"/>
  <c r="H57" i="238"/>
  <c r="H75" i="238"/>
  <c r="BE27" i="238"/>
  <c r="H56" i="238"/>
  <c r="H74" i="238"/>
  <c r="BE28" i="238"/>
  <c r="BE32" i="238"/>
  <c r="G57" i="238"/>
  <c r="G75" i="238"/>
  <c r="F57" i="238"/>
  <c r="F75" i="238"/>
  <c r="BC27" i="238"/>
  <c r="E57" i="238"/>
  <c r="E75" i="238"/>
  <c r="BB27" i="238"/>
  <c r="D57" i="238"/>
  <c r="D75" i="238"/>
  <c r="BA27" i="238"/>
  <c r="C57" i="238"/>
  <c r="C75" i="238"/>
  <c r="AW56" i="238"/>
  <c r="AW74" i="238"/>
  <c r="AW16" i="238"/>
  <c r="AV56" i="238"/>
  <c r="AV74" i="238"/>
  <c r="AU56" i="238"/>
  <c r="AU74" i="238"/>
  <c r="AT56" i="238"/>
  <c r="AT74" i="238"/>
  <c r="AS56" i="238"/>
  <c r="AS74" i="238"/>
  <c r="AR56" i="238"/>
  <c r="AR74" i="238"/>
  <c r="AP56" i="238"/>
  <c r="AP74" i="238"/>
  <c r="AO56" i="238"/>
  <c r="AO74" i="238"/>
  <c r="CL28" i="238"/>
  <c r="AN56" i="238"/>
  <c r="AN74" i="238"/>
  <c r="CK28" i="238"/>
  <c r="AM56" i="238"/>
  <c r="AM74" i="238"/>
  <c r="AJ56" i="238"/>
  <c r="AJ74" i="238"/>
  <c r="AI56" i="238"/>
  <c r="AI74" i="238"/>
  <c r="CF28" i="238"/>
  <c r="CF32" i="238"/>
  <c r="AH56" i="238"/>
  <c r="AH74" i="238"/>
  <c r="CE28" i="238"/>
  <c r="CE32" i="238"/>
  <c r="AF56" i="238"/>
  <c r="AF74" i="238"/>
  <c r="CC28" i="238"/>
  <c r="CC32" i="238"/>
  <c r="AE56" i="238"/>
  <c r="AE74" i="238"/>
  <c r="AD56" i="238"/>
  <c r="AD74" i="238"/>
  <c r="AC56" i="238"/>
  <c r="AC74" i="238"/>
  <c r="AB56" i="238"/>
  <c r="AB74" i="238"/>
  <c r="Z56" i="238"/>
  <c r="Z74" i="238"/>
  <c r="X56" i="238"/>
  <c r="X74" i="238"/>
  <c r="X16" i="238"/>
  <c r="W56" i="238"/>
  <c r="W74" i="238"/>
  <c r="V56" i="238"/>
  <c r="V74" i="238"/>
  <c r="U56" i="238"/>
  <c r="U74" i="238"/>
  <c r="BR28" i="238"/>
  <c r="S56" i="238"/>
  <c r="S74" i="238"/>
  <c r="Q16" i="238"/>
  <c r="N56" i="238"/>
  <c r="N74" i="238"/>
  <c r="BK28" i="238"/>
  <c r="M56" i="238"/>
  <c r="M74" i="238"/>
  <c r="BJ28" i="238"/>
  <c r="BJ32" i="238"/>
  <c r="L56" i="238"/>
  <c r="L74" i="238"/>
  <c r="K56" i="238"/>
  <c r="K74" i="238"/>
  <c r="BH28" i="238"/>
  <c r="BH35" i="238"/>
  <c r="J56" i="238"/>
  <c r="J74" i="238"/>
  <c r="G56" i="238"/>
  <c r="G74" i="238"/>
  <c r="BD28" i="238"/>
  <c r="F56" i="238"/>
  <c r="F74" i="238"/>
  <c r="E56" i="238"/>
  <c r="E74" i="238"/>
  <c r="D56" i="238"/>
  <c r="D74" i="238"/>
  <c r="C56" i="238"/>
  <c r="C74" i="238"/>
  <c r="AZ28" i="238"/>
  <c r="AZ27" i="238"/>
  <c r="AZ32" i="238"/>
  <c r="BC52" i="238"/>
  <c r="BB52" i="238"/>
  <c r="BA52" i="238"/>
  <c r="BF52" i="238"/>
  <c r="BW30" i="238"/>
  <c r="BF30" i="238"/>
  <c r="AY30" i="238"/>
  <c r="CR29" i="238"/>
  <c r="CM29" i="238"/>
  <c r="BA29"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B7" i="237"/>
  <c r="B6" i="237"/>
  <c r="CC21" i="238"/>
  <c r="BC28" i="238"/>
  <c r="CB33" i="238"/>
  <c r="BS33" i="238"/>
  <c r="E46" i="219"/>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E37" i="231"/>
  <c r="C55" i="219" s="1"/>
  <c r="D37" i="231"/>
  <c r="B55" i="219" s="1"/>
  <c r="D23" i="231"/>
  <c r="B41" i="219" s="1"/>
  <c r="J3" i="235"/>
  <c r="I3" i="235"/>
  <c r="H3" i="235"/>
  <c r="G3" i="235"/>
  <c r="F3" i="235"/>
  <c r="E3" i="235"/>
  <c r="D3" i="235"/>
  <c r="B3" i="235"/>
  <c r="E45" i="219"/>
  <c r="E44" i="219"/>
  <c r="E43" i="219"/>
  <c r="E42" i="219"/>
  <c r="E41" i="219"/>
  <c r="E27" i="231"/>
  <c r="C45" i="219" s="1"/>
  <c r="D27" i="231"/>
  <c r="B45" i="219" s="1"/>
  <c r="E26" i="231"/>
  <c r="C44" i="219" s="1"/>
  <c r="D26" i="231"/>
  <c r="B44" i="219" s="1"/>
  <c r="E25" i="231"/>
  <c r="C43" i="219" s="1"/>
  <c r="D25" i="231"/>
  <c r="B43" i="219" s="1"/>
  <c r="E24" i="231"/>
  <c r="C42" i="219" s="1"/>
  <c r="D24" i="231"/>
  <c r="B42" i="219" s="1"/>
  <c r="E23" i="231"/>
  <c r="C41" i="219" s="1"/>
  <c r="E38" i="219"/>
  <c r="E18" i="231"/>
  <c r="C36" i="219" s="1"/>
  <c r="E20" i="231"/>
  <c r="C38" i="219" s="1"/>
  <c r="D18" i="231"/>
  <c r="B36" i="219" s="1"/>
  <c r="D20" i="231"/>
  <c r="B38" i="219" s="1"/>
  <c r="E34" i="219"/>
  <c r="D16" i="231"/>
  <c r="B34" i="219" s="1"/>
  <c r="E16" i="231"/>
  <c r="C34" i="219" s="1"/>
  <c r="E31" i="219"/>
  <c r="E32" i="219"/>
  <c r="E33" i="219"/>
  <c r="D15" i="231"/>
  <c r="B33" i="219" s="1"/>
  <c r="E15" i="231"/>
  <c r="C33" i="219" s="1"/>
  <c r="E30" i="219"/>
  <c r="E29" i="219"/>
  <c r="E28" i="219"/>
  <c r="E27" i="219"/>
  <c r="E26" i="219"/>
  <c r="E25" i="219"/>
  <c r="D14" i="231"/>
  <c r="B32" i="219" s="1"/>
  <c r="D13" i="231"/>
  <c r="B31" i="219" s="1"/>
  <c r="D12" i="231"/>
  <c r="B30" i="219" s="1"/>
  <c r="D11" i="231"/>
  <c r="B29" i="219" s="1"/>
  <c r="D10" i="231"/>
  <c r="B28" i="219" s="1"/>
  <c r="D9" i="231"/>
  <c r="B27" i="219" s="1"/>
  <c r="D8" i="231"/>
  <c r="B26" i="219" s="1"/>
  <c r="D7" i="231"/>
  <c r="B25" i="219" s="1"/>
  <c r="D6" i="231"/>
  <c r="B24" i="219" s="1"/>
  <c r="E7" i="231"/>
  <c r="C25" i="219" s="1"/>
  <c r="E8" i="231"/>
  <c r="C26" i="219" s="1"/>
  <c r="E9" i="231"/>
  <c r="C27" i="219" s="1"/>
  <c r="E10" i="231"/>
  <c r="C28" i="219" s="1"/>
  <c r="E11" i="231"/>
  <c r="C29" i="219" s="1"/>
  <c r="E12" i="231"/>
  <c r="C30" i="219" s="1"/>
  <c r="E13" i="231"/>
  <c r="C31" i="219" s="1"/>
  <c r="E14" i="231"/>
  <c r="C32" i="219" s="1"/>
  <c r="E6" i="231"/>
  <c r="C24" i="219" s="1"/>
  <c r="CN25" i="238"/>
  <c r="BY26" i="238"/>
  <c r="AI16" i="238"/>
  <c r="BB22" i="238"/>
  <c r="BI27" i="238"/>
  <c r="BE24" i="238"/>
  <c r="BP24" i="238"/>
  <c r="BT25" i="238"/>
  <c r="BT26" i="238"/>
  <c r="CF21" i="238"/>
  <c r="CR25" i="238"/>
  <c r="I10" i="239"/>
  <c r="BB21" i="238"/>
  <c r="BB26" i="238"/>
  <c r="BP23" i="238"/>
  <c r="BX23" i="238"/>
  <c r="BM23" i="238"/>
  <c r="CC22" i="238"/>
  <c r="CO24" i="238"/>
  <c r="K16" i="238"/>
  <c r="BB33" i="238"/>
  <c r="CB25" i="238"/>
  <c r="BB24" i="238"/>
  <c r="BK25" i="238"/>
  <c r="BO25" i="238"/>
  <c r="CA25" i="238"/>
  <c r="CI25" i="238"/>
  <c r="BZ23" i="238"/>
  <c r="CH33" i="238"/>
  <c r="CH35" i="238"/>
  <c r="CM22" i="238"/>
  <c r="CQ23" i="238"/>
  <c r="BD24" i="238"/>
  <c r="CL32" i="238"/>
  <c r="BI24" i="238"/>
  <c r="CO28" i="238"/>
  <c r="AR16" i="238"/>
  <c r="CJ28" i="238"/>
  <c r="AZ24" i="238"/>
  <c r="BS24" i="238"/>
  <c r="BS25" i="238"/>
  <c r="CD26" i="238"/>
  <c r="AA16" i="238"/>
  <c r="BZ28" i="238"/>
  <c r="BR24" i="238"/>
  <c r="CP22" i="238"/>
  <c r="BE26" i="238"/>
  <c r="BE23" i="238"/>
  <c r="CA33" i="238"/>
  <c r="CA22" i="238"/>
  <c r="BE21" i="238"/>
  <c r="CD23" i="238"/>
  <c r="BK21" i="238"/>
  <c r="CD33" i="238"/>
  <c r="BO23" i="238"/>
  <c r="CP26" i="238"/>
  <c r="CN32" i="238"/>
  <c r="AQ16" i="238"/>
  <c r="BF23" i="238"/>
  <c r="BH22" i="238"/>
  <c r="BH21" i="238"/>
  <c r="BH26" i="238"/>
  <c r="CL33" i="238"/>
  <c r="CL35" i="238"/>
  <c r="BV24" i="238"/>
  <c r="BT28" i="238"/>
  <c r="BT32" i="238"/>
  <c r="AK16" i="238"/>
  <c r="CQ26" i="238"/>
  <c r="BZ24" i="238"/>
  <c r="C16" i="238"/>
  <c r="R16" i="238"/>
  <c r="BI33" i="238"/>
  <c r="BV25" i="238"/>
  <c r="CD25" i="238"/>
  <c r="BK26" i="238"/>
  <c r="BR26" i="238"/>
  <c r="CK25" i="238"/>
  <c r="BN33" i="238"/>
  <c r="BK22" i="238"/>
  <c r="BH32" i="238"/>
  <c r="D98" i="231"/>
  <c r="B16" i="237" s="1"/>
  <c r="D126" i="231"/>
  <c r="B50" i="237" s="1"/>
  <c r="E50" i="237"/>
  <c r="E23" i="237"/>
  <c r="CA28" i="238"/>
  <c r="AD16" i="238"/>
  <c r="CB28" i="238"/>
  <c r="AE16" i="238"/>
  <c r="CS28" i="238"/>
  <c r="CS32" i="238"/>
  <c r="CD35" i="238"/>
  <c r="BC32" i="238"/>
  <c r="BP28" i="238"/>
  <c r="S16" i="238"/>
  <c r="G16" i="238"/>
  <c r="BD27" i="238"/>
  <c r="BD32" i="238"/>
  <c r="BP35" i="238"/>
  <c r="BS28" i="238"/>
  <c r="BS32" i="238"/>
  <c r="V16" i="238"/>
  <c r="L16" i="238"/>
  <c r="BI28" i="238"/>
  <c r="BI35" i="238"/>
  <c r="CA35" i="238"/>
  <c r="CB35" i="238"/>
  <c r="BK27" i="238"/>
  <c r="BK32" i="238"/>
  <c r="N16" i="238"/>
  <c r="CP28" i="238"/>
  <c r="AS16" i="238"/>
  <c r="CP32" i="238"/>
  <c r="CR28" i="238"/>
  <c r="CR32" i="238"/>
  <c r="BR23" i="238"/>
  <c r="Y16" i="238"/>
  <c r="CK22" i="238"/>
  <c r="CK21" i="238"/>
  <c r="CK26" i="238"/>
  <c r="CK33" i="238"/>
  <c r="CK35" i="238"/>
  <c r="CO25" i="238"/>
  <c r="BG26" i="238"/>
  <c r="AO16" i="238"/>
  <c r="AZ33" i="238"/>
  <c r="BR22" i="238"/>
  <c r="BL25" i="238"/>
  <c r="BL21" i="238"/>
  <c r="AZ23" i="238"/>
  <c r="CH24" i="238"/>
  <c r="CI24" i="238"/>
  <c r="CK24" i="238"/>
  <c r="CM24" i="238"/>
  <c r="CN24" i="238"/>
  <c r="CP24" i="238"/>
  <c r="CQ24" i="238"/>
  <c r="CR24" i="238"/>
  <c r="CS24" i="238"/>
  <c r="CT24" i="238"/>
  <c r="DC24" i="238"/>
  <c r="W9" i="239"/>
  <c r="BU26" i="238"/>
  <c r="AP16" i="238"/>
  <c r="CM28" i="238"/>
  <c r="CM32" i="238"/>
  <c r="BQ21" i="238"/>
  <c r="BQ23" i="238"/>
  <c r="CL25" i="238"/>
  <c r="BJ33" i="238"/>
  <c r="BJ35" i="238"/>
  <c r="AF16" i="238"/>
  <c r="BW28" i="238"/>
  <c r="Z16" i="238"/>
  <c r="BG28" i="238"/>
  <c r="BG32" i="238"/>
  <c r="CH25" i="238"/>
  <c r="CP23" i="238"/>
  <c r="CE26" i="238"/>
  <c r="BB23" i="238"/>
  <c r="CC23" i="238"/>
  <c r="BJ24" i="238"/>
  <c r="BQ25" i="238"/>
  <c r="BY28" i="238"/>
  <c r="BY32" i="238"/>
  <c r="AB16" i="238"/>
  <c r="CO33" i="238"/>
  <c r="CO35" i="238"/>
  <c r="BX26" i="238"/>
  <c r="BW32" i="238"/>
  <c r="BW22" i="238"/>
  <c r="CT25" i="238"/>
  <c r="J10" i="239"/>
  <c r="BY22" i="238"/>
  <c r="AM16" i="238"/>
  <c r="CJ27" i="238"/>
  <c r="CJ32" i="238"/>
  <c r="BM24" i="238"/>
  <c r="CM23" i="238"/>
  <c r="BA26" i="238"/>
  <c r="BC26" i="238"/>
  <c r="BD26" i="238"/>
  <c r="BF26" i="238"/>
  <c r="BI26" i="238"/>
  <c r="BJ26" i="238"/>
  <c r="BL26" i="238"/>
  <c r="BM26" i="238"/>
  <c r="BN26" i="238"/>
  <c r="BQ26" i="238"/>
  <c r="BS26" i="238"/>
  <c r="BZ26" i="238"/>
  <c r="CA26" i="238"/>
  <c r="CB26" i="238"/>
  <c r="CC26" i="238"/>
  <c r="CF26" i="238"/>
  <c r="CG26" i="238"/>
  <c r="CJ26" i="238"/>
  <c r="CL26" i="238"/>
  <c r="CM26" i="238"/>
  <c r="CN26" i="238"/>
  <c r="CS26" i="238"/>
  <c r="CV26" i="238"/>
  <c r="BR25" i="238"/>
  <c r="CE24" i="238"/>
  <c r="M16" i="238"/>
  <c r="BA33" i="238"/>
  <c r="BA28" i="238"/>
  <c r="BA35" i="238"/>
  <c r="BN24" i="238"/>
  <c r="CT28" i="238"/>
  <c r="CG28" i="238"/>
  <c r="CQ28" i="238"/>
  <c r="DB28" i="238"/>
  <c r="CK32" i="238"/>
  <c r="I9" i="239"/>
  <c r="CR21" i="238"/>
  <c r="I6" i="239"/>
  <c r="CR33" i="238"/>
  <c r="CR22" i="238"/>
  <c r="I7" i="239"/>
  <c r="BY21" i="238"/>
  <c r="CG25" i="238"/>
  <c r="CG21" i="238"/>
  <c r="CH21" i="238"/>
  <c r="CI21" i="238"/>
  <c r="CL21" i="238"/>
  <c r="CM21" i="238"/>
  <c r="CO21" i="238"/>
  <c r="CP21" i="238"/>
  <c r="CQ21" i="238"/>
  <c r="CS21" i="238"/>
  <c r="CT21" i="238"/>
  <c r="DA21" i="238"/>
  <c r="X6" i="239"/>
  <c r="CG22" i="238"/>
  <c r="CG23" i="238"/>
  <c r="CG33" i="238"/>
  <c r="BU25" i="238"/>
  <c r="BU23" i="238"/>
  <c r="BG23" i="238"/>
  <c r="CE23" i="238"/>
  <c r="BS22" i="238"/>
  <c r="BS23" i="238"/>
  <c r="BS21" i="238"/>
  <c r="CS25" i="238"/>
  <c r="CS33" i="238"/>
  <c r="BO33" i="238"/>
  <c r="BO35" i="238"/>
  <c r="BO21" i="238"/>
  <c r="BO24" i="238"/>
  <c r="BO22" i="238"/>
  <c r="BL24" i="238"/>
  <c r="BG22" i="238"/>
  <c r="AN16" i="238"/>
  <c r="AT16" i="238"/>
  <c r="BT21" i="238"/>
  <c r="CT22" i="238"/>
  <c r="J7" i="239"/>
  <c r="CI23" i="238"/>
  <c r="BW25" i="238"/>
  <c r="P16" i="238"/>
  <c r="BT22" i="238"/>
  <c r="CB22" i="238"/>
  <c r="CB21" i="238"/>
  <c r="CQ33" i="238"/>
  <c r="CQ35" i="238"/>
  <c r="CQ22" i="238"/>
  <c r="D104" i="231"/>
  <c r="B22" i="237" s="1"/>
  <c r="E22" i="237"/>
  <c r="AU16" i="238"/>
  <c r="W16" i="238"/>
  <c r="BX22" i="238"/>
  <c r="AV16" i="238"/>
  <c r="AC16" i="238"/>
  <c r="BV33" i="238"/>
  <c r="BV35" i="238"/>
  <c r="BV21" i="238"/>
  <c r="BV22" i="238"/>
  <c r="CD22" i="238"/>
  <c r="BK23" i="238"/>
  <c r="BK33" i="238"/>
  <c r="BK35" i="238"/>
  <c r="CL23" i="238"/>
  <c r="BQ24" i="238"/>
  <c r="J9" i="239"/>
  <c r="CE22" i="238"/>
  <c r="CE33" i="238"/>
  <c r="CE35" i="238"/>
  <c r="CF23" i="238"/>
  <c r="CF22" i="238"/>
  <c r="BN35" i="238"/>
  <c r="CA32" i="238"/>
  <c r="AZ22" i="238"/>
  <c r="BY24" i="238"/>
  <c r="BB28" i="238"/>
  <c r="BU28" i="238"/>
  <c r="CW28" i="238"/>
  <c r="D16" i="238"/>
  <c r="CB32" i="238"/>
  <c r="CO32" i="238"/>
  <c r="BE25" i="238"/>
  <c r="BE33" i="238"/>
  <c r="BE35" i="238"/>
  <c r="BE22" i="238"/>
  <c r="CO23" i="238"/>
  <c r="K7" i="242"/>
  <c r="L24" i="242"/>
  <c r="BL33" i="238"/>
  <c r="BL35" i="238"/>
  <c r="O16" i="238"/>
  <c r="CH22" i="238"/>
  <c r="J16" i="238"/>
  <c r="CE21" i="238"/>
  <c r="AG16" i="238"/>
  <c r="BW33" i="238"/>
  <c r="BW35" i="238"/>
  <c r="BW23" i="238"/>
  <c r="BW24" i="238"/>
  <c r="CM33" i="238"/>
  <c r="CM35" i="238"/>
  <c r="BY33" i="238"/>
  <c r="BQ33" i="238"/>
  <c r="BQ35" i="238"/>
  <c r="E16" i="238"/>
  <c r="BB35" i="238"/>
  <c r="AH16" i="238"/>
  <c r="BZ22" i="238"/>
  <c r="BZ21" i="238"/>
  <c r="BZ33" i="238"/>
  <c r="BZ25" i="238"/>
  <c r="BF21" i="238"/>
  <c r="BN21" i="238"/>
  <c r="BN23" i="238"/>
  <c r="BX24" i="238"/>
  <c r="CH23" i="238"/>
  <c r="BM22" i="238"/>
  <c r="CB23" i="238"/>
  <c r="BS35" i="238"/>
  <c r="BA32" i="238"/>
  <c r="AZ21" i="238"/>
  <c r="CA24" i="238"/>
  <c r="CA21" i="238"/>
  <c r="CA23" i="238"/>
  <c r="BG21" i="238"/>
  <c r="BG25" i="238"/>
  <c r="CI22" i="238"/>
  <c r="DC21" i="238"/>
  <c r="W6" i="239"/>
  <c r="CI33" i="238"/>
  <c r="CI35" i="238"/>
  <c r="AL16" i="238"/>
  <c r="DC27" i="238"/>
  <c r="BW21" i="238"/>
  <c r="BM21" i="238"/>
  <c r="BY23" i="238"/>
  <c r="BA25" i="238"/>
  <c r="BD25" i="238"/>
  <c r="BH25" i="238"/>
  <c r="BI25" i="238"/>
  <c r="BJ25" i="238"/>
  <c r="CC25" i="238"/>
  <c r="CF25" i="238"/>
  <c r="CJ25" i="238"/>
  <c r="CW25" i="238"/>
  <c r="BA21" i="238"/>
  <c r="CB24" i="238"/>
  <c r="U16" i="238"/>
  <c r="BI21" i="238"/>
  <c r="BI22" i="238"/>
  <c r="BP32" i="238"/>
  <c r="BC24" i="238"/>
  <c r="BF24" i="238"/>
  <c r="BU24" i="238"/>
  <c r="CC24" i="238"/>
  <c r="CD24" i="238"/>
  <c r="CW24" i="238"/>
  <c r="BC21" i="238"/>
  <c r="BC33" i="238"/>
  <c r="BC35" i="238"/>
  <c r="BJ22" i="238"/>
  <c r="T16" i="238"/>
  <c r="BM33" i="238"/>
  <c r="BM35" i="238"/>
  <c r="CG32" i="238"/>
  <c r="AJ16" i="238"/>
  <c r="CC33" i="238"/>
  <c r="CC35" i="238"/>
  <c r="BC23" i="238"/>
  <c r="CL22" i="238"/>
  <c r="BD33" i="238"/>
  <c r="BD35" i="238"/>
  <c r="BD23" i="238"/>
  <c r="CX25" i="238"/>
  <c r="BD21" i="238"/>
  <c r="BD22" i="238"/>
  <c r="CX26" i="238"/>
  <c r="CD21" i="238"/>
  <c r="BL22" i="238"/>
  <c r="F16" i="238"/>
  <c r="H16" i="238"/>
  <c r="BR33" i="238"/>
  <c r="BR35" i="238"/>
  <c r="BR32" i="238"/>
  <c r="CF33" i="238"/>
  <c r="CS22" i="238"/>
  <c r="BF22" i="238"/>
  <c r="I16" i="238"/>
  <c r="DB27" i="238"/>
  <c r="BG33" i="238"/>
  <c r="CP33" i="238"/>
  <c r="BV23" i="238"/>
  <c r="BQ22" i="238"/>
  <c r="BU32" i="238"/>
  <c r="CT33" i="238"/>
  <c r="BU22" i="238"/>
  <c r="BT23" i="238"/>
  <c r="BX21" i="238"/>
  <c r="CQ32" i="238"/>
  <c r="BZ27" i="238"/>
  <c r="BZ32" i="238"/>
  <c r="CJ22" i="238"/>
  <c r="BH23" i="238"/>
  <c r="BP21" i="238"/>
  <c r="J6" i="239"/>
  <c r="BT33" i="238"/>
  <c r="BT35" i="238"/>
  <c r="CJ33" i="238"/>
  <c r="CJ35" i="238"/>
  <c r="CJ23" i="238"/>
  <c r="CT23" i="238"/>
  <c r="J8" i="239"/>
  <c r="CO22" i="238"/>
  <c r="BF33" i="238"/>
  <c r="BF35" i="238"/>
  <c r="CN23" i="238"/>
  <c r="BU21" i="238"/>
  <c r="DB24" i="238"/>
  <c r="E9" i="237"/>
  <c r="E24" i="237"/>
  <c r="D134" i="231"/>
  <c r="B58" i="237" s="1"/>
  <c r="D115" i="231"/>
  <c r="B33" i="237" s="1"/>
  <c r="D103" i="231"/>
  <c r="B21" i="237" s="1"/>
  <c r="D101" i="231"/>
  <c r="B19" i="237" s="1"/>
  <c r="E44" i="237"/>
  <c r="E47" i="237"/>
  <c r="E46" i="237"/>
  <c r="BI32" i="238"/>
  <c r="BY35" i="238"/>
  <c r="DB25" i="238"/>
  <c r="DA25" i="238"/>
  <c r="X10" i="239"/>
  <c r="DC25" i="238"/>
  <c r="W10" i="239"/>
  <c r="CV30" i="238"/>
  <c r="CW30" i="238"/>
  <c r="AZ35" i="238"/>
  <c r="BB32" i="238"/>
  <c r="DA27" i="238"/>
  <c r="DB21" i="238"/>
  <c r="DC28" i="238"/>
  <c r="CX27" i="238"/>
  <c r="CT32" i="238"/>
  <c r="Q5" i="239"/>
  <c r="O19" i="239"/>
  <c r="O5" i="239"/>
  <c r="K13" i="239" s="1"/>
  <c r="CV27" i="238"/>
  <c r="CG35" i="238"/>
  <c r="CW27" i="238"/>
  <c r="CV22" i="238"/>
  <c r="CX22" i="238"/>
  <c r="CW22" i="238"/>
  <c r="DA30" i="238"/>
  <c r="DB30" i="238"/>
  <c r="CF35" i="238"/>
  <c r="CX28" i="238"/>
  <c r="CW26" i="238"/>
  <c r="DA23" i="238"/>
  <c r="X8" i="239"/>
  <c r="DC23" i="238"/>
  <c r="W8" i="239"/>
  <c r="DB23" i="238"/>
  <c r="DA24" i="238"/>
  <c r="X9" i="239"/>
  <c r="CR35" i="238"/>
  <c r="CV28" i="238"/>
  <c r="CP35" i="238"/>
  <c r="CV25" i="238"/>
  <c r="CS35" i="238"/>
  <c r="BU35" i="238"/>
  <c r="BG35" i="238"/>
  <c r="DA22" i="238"/>
  <c r="X7" i="239"/>
  <c r="DB22" i="238"/>
  <c r="DC22" i="238"/>
  <c r="W7" i="239"/>
  <c r="CV24" i="238"/>
  <c r="DA28" i="238"/>
  <c r="BZ35" i="238"/>
  <c r="L7" i="242"/>
  <c r="M24" i="242"/>
  <c r="CX24" i="238"/>
  <c r="CV23" i="238"/>
  <c r="CW23" i="238"/>
  <c r="CX23" i="238"/>
  <c r="DA26" i="238"/>
  <c r="X11" i="239"/>
  <c r="DB26" i="238"/>
  <c r="DC26" i="238"/>
  <c r="W11" i="239"/>
  <c r="CT35" i="238"/>
  <c r="CX21" i="238"/>
  <c r="CV21" i="238"/>
  <c r="CW21" i="238"/>
  <c r="CX33" i="238"/>
  <c r="CV33" i="238"/>
  <c r="CW33" i="238"/>
  <c r="AB5" i="239"/>
  <c r="AA5" i="239"/>
  <c r="DA33" i="238"/>
  <c r="DC33" i="238"/>
  <c r="DB33" i="238"/>
  <c r="P19" i="239"/>
  <c r="R5" i="239"/>
  <c r="P5" i="239"/>
  <c r="M7" i="242"/>
  <c r="N7" i="242"/>
  <c r="O7" i="242"/>
  <c r="P18" i="239" l="1"/>
  <c r="AP6" i="242"/>
  <c r="AM6" i="242"/>
  <c r="AN6" i="242"/>
  <c r="AO6" i="242"/>
  <c r="AL6" i="242"/>
  <c r="AJ6" i="242"/>
  <c r="AR6" i="242"/>
  <c r="AK6" i="242"/>
  <c r="AQ6" i="242"/>
  <c r="AS6" i="242"/>
  <c r="AN96" i="219"/>
  <c r="L96" i="219"/>
  <c r="G96" i="219"/>
  <c r="AM96" i="219"/>
  <c r="K96" i="219"/>
  <c r="AL96" i="219"/>
  <c r="J96" i="219"/>
  <c r="AK96" i="219"/>
  <c r="I96" i="219"/>
  <c r="AJ96" i="219"/>
  <c r="H96" i="219"/>
  <c r="AI96" i="219"/>
  <c r="AH96" i="219"/>
  <c r="AG96" i="219"/>
  <c r="AF96" i="219"/>
  <c r="AE96" i="219"/>
  <c r="AD96" i="219"/>
  <c r="M96" i="219"/>
  <c r="AC96" i="219"/>
  <c r="AB96" i="219"/>
  <c r="AA96" i="219"/>
  <c r="Z96" i="219"/>
  <c r="Y96" i="219"/>
  <c r="X96" i="219"/>
  <c r="W96" i="219"/>
  <c r="AO96" i="219"/>
  <c r="V96" i="219"/>
  <c r="U96" i="219"/>
  <c r="T96" i="219"/>
  <c r="N96" i="219"/>
  <c r="AU96" i="219"/>
  <c r="S96" i="219"/>
  <c r="AT96" i="219"/>
  <c r="R96" i="219"/>
  <c r="AS96" i="219"/>
  <c r="Q96" i="219"/>
  <c r="AQ96" i="219"/>
  <c r="O96" i="219"/>
  <c r="AP96" i="219"/>
  <c r="AR96" i="219"/>
  <c r="P96" i="219"/>
  <c r="X95" i="219"/>
  <c r="W95" i="219"/>
  <c r="G95" i="219"/>
  <c r="V95" i="219"/>
  <c r="U95" i="219"/>
  <c r="T95" i="219"/>
  <c r="AU95" i="219"/>
  <c r="S95" i="219"/>
  <c r="AT95" i="219"/>
  <c r="R95" i="219"/>
  <c r="AS95" i="219"/>
  <c r="Q95" i="219"/>
  <c r="AR95" i="219"/>
  <c r="P95" i="219"/>
  <c r="AQ95" i="219"/>
  <c r="O95" i="219"/>
  <c r="Y95" i="219"/>
  <c r="AP95" i="219"/>
  <c r="N95" i="219"/>
  <c r="AO95" i="219"/>
  <c r="M95" i="219"/>
  <c r="AN95" i="219"/>
  <c r="L95" i="219"/>
  <c r="AM95" i="219"/>
  <c r="K95" i="219"/>
  <c r="AL95" i="219"/>
  <c r="J95" i="219"/>
  <c r="AK95" i="219"/>
  <c r="I95" i="219"/>
  <c r="AJ95" i="219"/>
  <c r="H95" i="219"/>
  <c r="AI95" i="219"/>
  <c r="AH95" i="219"/>
  <c r="AG95" i="219"/>
  <c r="AF95" i="219"/>
  <c r="AE95" i="219"/>
  <c r="AD95" i="219"/>
  <c r="AC95" i="219"/>
  <c r="AA95" i="219"/>
  <c r="Z95" i="219"/>
  <c r="AB95" i="219"/>
  <c r="AJ94" i="219"/>
  <c r="H94" i="219"/>
  <c r="AI94" i="219"/>
  <c r="AH94" i="219"/>
  <c r="AG94" i="219"/>
  <c r="AF94" i="219"/>
  <c r="AE94" i="219"/>
  <c r="AD94" i="219"/>
  <c r="AC94" i="219"/>
  <c r="AB94" i="219"/>
  <c r="AA94" i="219"/>
  <c r="I94" i="219"/>
  <c r="G94" i="219"/>
  <c r="Z94" i="219"/>
  <c r="Y94" i="219"/>
  <c r="X94" i="219"/>
  <c r="W94" i="219"/>
  <c r="V94" i="219"/>
  <c r="U94" i="219"/>
  <c r="T94" i="219"/>
  <c r="AU94" i="219"/>
  <c r="S94" i="219"/>
  <c r="AT94" i="219"/>
  <c r="R94" i="219"/>
  <c r="AS94" i="219"/>
  <c r="Q94" i="219"/>
  <c r="AR94" i="219"/>
  <c r="P94" i="219"/>
  <c r="AQ94" i="219"/>
  <c r="O94" i="219"/>
  <c r="AP94" i="219"/>
  <c r="N94" i="219"/>
  <c r="J94" i="219"/>
  <c r="AO94" i="219"/>
  <c r="M94" i="219"/>
  <c r="AM94" i="219"/>
  <c r="K94" i="219"/>
  <c r="AL94" i="219"/>
  <c r="AK94" i="219"/>
  <c r="AN94" i="219"/>
  <c r="L94" i="219"/>
  <c r="T93" i="219"/>
  <c r="AU93" i="219"/>
  <c r="S93" i="219"/>
  <c r="AT93" i="219"/>
  <c r="R93" i="219"/>
  <c r="AS93" i="219"/>
  <c r="Q93" i="219"/>
  <c r="AR93" i="219"/>
  <c r="P93" i="219"/>
  <c r="AQ93" i="219"/>
  <c r="O93" i="219"/>
  <c r="AP93" i="219"/>
  <c r="N93" i="219"/>
  <c r="AO93" i="219"/>
  <c r="M93" i="219"/>
  <c r="AN93" i="219"/>
  <c r="L93" i="219"/>
  <c r="AM93" i="219"/>
  <c r="K93" i="219"/>
  <c r="U93" i="219"/>
  <c r="AL93" i="219"/>
  <c r="J93" i="219"/>
  <c r="AK93" i="219"/>
  <c r="I93" i="219"/>
  <c r="AI93" i="219"/>
  <c r="AJ93" i="219"/>
  <c r="H93" i="219"/>
  <c r="G93" i="219"/>
  <c r="AH93" i="219"/>
  <c r="AG93" i="219"/>
  <c r="AF93" i="219"/>
  <c r="AE93" i="219"/>
  <c r="AD93" i="219"/>
  <c r="AC93" i="219"/>
  <c r="AB93" i="219"/>
  <c r="AA93" i="219"/>
  <c r="Z93" i="219"/>
  <c r="Y93" i="219"/>
  <c r="W93" i="219"/>
  <c r="X93" i="219"/>
  <c r="V93" i="219"/>
  <c r="AF92" i="219"/>
  <c r="AE92" i="219"/>
  <c r="AD92" i="219"/>
  <c r="AC92" i="219"/>
  <c r="AB92" i="219"/>
  <c r="AA92" i="219"/>
  <c r="Z92" i="219"/>
  <c r="Y92" i="219"/>
  <c r="X92" i="219"/>
  <c r="W92" i="219"/>
  <c r="V92" i="219"/>
  <c r="U92" i="219"/>
  <c r="T92" i="219"/>
  <c r="S92" i="219"/>
  <c r="AU92" i="219"/>
  <c r="AT92" i="219"/>
  <c r="R92" i="219"/>
  <c r="AS92" i="219"/>
  <c r="Q92" i="219"/>
  <c r="AR92" i="219"/>
  <c r="P92" i="219"/>
  <c r="AQ92" i="219"/>
  <c r="O92" i="219"/>
  <c r="AP92" i="219"/>
  <c r="N92" i="219"/>
  <c r="AO92" i="219"/>
  <c r="M92" i="219"/>
  <c r="AN92" i="219"/>
  <c r="L92" i="219"/>
  <c r="AM92" i="219"/>
  <c r="K92" i="219"/>
  <c r="AL92" i="219"/>
  <c r="J92" i="219"/>
  <c r="AK92" i="219"/>
  <c r="I92" i="219"/>
  <c r="G92" i="219"/>
  <c r="AH92" i="219"/>
  <c r="AG92" i="219"/>
  <c r="AJ92" i="219"/>
  <c r="H92" i="219"/>
  <c r="AI92" i="219"/>
  <c r="W72" i="219"/>
  <c r="W85" i="219" s="1"/>
  <c r="W86" i="219" s="1"/>
  <c r="W87" i="219" s="1"/>
  <c r="I72" i="219"/>
  <c r="I85" i="219" s="1"/>
  <c r="I86" i="219" s="1"/>
  <c r="I87" i="219" s="1"/>
  <c r="AK72" i="219"/>
  <c r="AK85" i="219" s="1"/>
  <c r="AK86" i="219" s="1"/>
  <c r="AK87" i="219" s="1"/>
  <c r="L72" i="219"/>
  <c r="L85" i="219" s="1"/>
  <c r="L86" i="219" s="1"/>
  <c r="L87" i="219" s="1"/>
  <c r="AN72" i="219"/>
  <c r="AN85" i="219" s="1"/>
  <c r="AN86" i="219" s="1"/>
  <c r="AN87" i="219" s="1"/>
  <c r="Q72" i="219"/>
  <c r="Q85" i="219" s="1"/>
  <c r="Q86" i="219" s="1"/>
  <c r="Q87" i="219" s="1"/>
  <c r="AS72" i="219"/>
  <c r="AS85" i="219" s="1"/>
  <c r="AS86" i="219" s="1"/>
  <c r="AS87" i="219" s="1"/>
  <c r="AO72" i="219"/>
  <c r="AO85" i="219" s="1"/>
  <c r="AO86" i="219" s="1"/>
  <c r="AO87" i="219" s="1"/>
  <c r="H72" i="219"/>
  <c r="H85" i="219" s="1"/>
  <c r="H86" i="219" s="1"/>
  <c r="H87" i="219" s="1"/>
  <c r="AP72" i="219"/>
  <c r="AP85" i="219" s="1"/>
  <c r="AP86" i="219" s="1"/>
  <c r="AP87" i="219" s="1"/>
  <c r="J72" i="219"/>
  <c r="J85" i="219" s="1"/>
  <c r="J86" i="219" s="1"/>
  <c r="J87" i="219" s="1"/>
  <c r="AQ72" i="219"/>
  <c r="AQ85" i="219" s="1"/>
  <c r="AQ86" i="219" s="1"/>
  <c r="AQ87" i="219" s="1"/>
  <c r="Y72" i="219"/>
  <c r="Y85" i="219" s="1"/>
  <c r="Y86" i="219" s="1"/>
  <c r="Y87" i="219" s="1"/>
  <c r="Z72" i="219"/>
  <c r="Z85" i="219" s="1"/>
  <c r="Z86" i="219" s="1"/>
  <c r="Z87" i="219" s="1"/>
  <c r="AA72" i="219"/>
  <c r="AA85" i="219" s="1"/>
  <c r="AA86" i="219" s="1"/>
  <c r="AA87" i="219" s="1"/>
  <c r="AE72" i="219"/>
  <c r="AE85" i="219" s="1"/>
  <c r="AE86" i="219" s="1"/>
  <c r="AE87" i="219" s="1"/>
  <c r="AJ72" i="219"/>
  <c r="AJ85" i="219" s="1"/>
  <c r="AJ86" i="219" s="1"/>
  <c r="AJ87" i="219" s="1"/>
  <c r="K72" i="219"/>
  <c r="K85" i="219" s="1"/>
  <c r="K86" i="219" s="1"/>
  <c r="K87" i="219" s="1"/>
  <c r="M72" i="219"/>
  <c r="M85" i="219" s="1"/>
  <c r="M86" i="219" s="1"/>
  <c r="M87" i="219" s="1"/>
  <c r="N72" i="219"/>
  <c r="N85" i="219" s="1"/>
  <c r="N86" i="219" s="1"/>
  <c r="N87" i="219" s="1"/>
  <c r="G72" i="219"/>
  <c r="G85" i="219" s="1"/>
  <c r="G86" i="219" s="1"/>
  <c r="G87" i="219" s="1"/>
  <c r="O72" i="219"/>
  <c r="O85" i="219" s="1"/>
  <c r="O86" i="219" s="1"/>
  <c r="O87" i="219" s="1"/>
  <c r="P72" i="219"/>
  <c r="P85" i="219" s="1"/>
  <c r="P86" i="219" s="1"/>
  <c r="P87" i="219" s="1"/>
  <c r="S72" i="219"/>
  <c r="S85" i="219" s="1"/>
  <c r="S86" i="219" s="1"/>
  <c r="S87" i="219" s="1"/>
  <c r="T72" i="219"/>
  <c r="T85" i="219" s="1"/>
  <c r="T86" i="219" s="1"/>
  <c r="T87" i="219" s="1"/>
  <c r="U72" i="219"/>
  <c r="U85" i="219" s="1"/>
  <c r="U86" i="219" s="1"/>
  <c r="U87" i="219" s="1"/>
  <c r="V72" i="219"/>
  <c r="V85" i="219" s="1"/>
  <c r="V86" i="219" s="1"/>
  <c r="V87" i="219" s="1"/>
  <c r="X72" i="219"/>
  <c r="X85" i="219" s="1"/>
  <c r="X86" i="219" s="1"/>
  <c r="X87" i="219" s="1"/>
  <c r="AB72" i="219"/>
  <c r="AB85" i="219" s="1"/>
  <c r="AB86" i="219" s="1"/>
  <c r="AB87" i="219" s="1"/>
  <c r="AC72" i="219"/>
  <c r="AC85" i="219" s="1"/>
  <c r="AC86" i="219" s="1"/>
  <c r="AC87" i="219" s="1"/>
  <c r="AD72" i="219"/>
  <c r="AD85" i="219" s="1"/>
  <c r="AD86" i="219" s="1"/>
  <c r="AD87" i="219" s="1"/>
  <c r="AF72" i="219"/>
  <c r="AF85" i="219" s="1"/>
  <c r="AF86" i="219" s="1"/>
  <c r="AF87" i="219" s="1"/>
  <c r="AG72" i="219"/>
  <c r="AG85" i="219" s="1"/>
  <c r="AG86" i="219" s="1"/>
  <c r="AG87" i="219" s="1"/>
  <c r="AH72" i="219"/>
  <c r="AH85" i="219" s="1"/>
  <c r="AH86" i="219" s="1"/>
  <c r="AH87" i="219" s="1"/>
  <c r="AM72" i="219"/>
  <c r="AM85" i="219" s="1"/>
  <c r="AM86" i="219" s="1"/>
  <c r="AM87" i="219" s="1"/>
  <c r="AT72" i="219"/>
  <c r="AT85" i="219" s="1"/>
  <c r="AT86" i="219" s="1"/>
  <c r="AT87" i="219" s="1"/>
  <c r="AU72" i="219"/>
  <c r="AU85" i="219" s="1"/>
  <c r="AU86" i="219" s="1"/>
  <c r="AU87" i="219" s="1"/>
  <c r="R72" i="219"/>
  <c r="R85" i="219" s="1"/>
  <c r="R86" i="219" s="1"/>
  <c r="R87" i="219" s="1"/>
  <c r="AL72" i="219"/>
  <c r="AL85" i="219" s="1"/>
  <c r="AL86" i="219" s="1"/>
  <c r="AL87" i="219" s="1"/>
  <c r="AR72" i="219"/>
  <c r="AR85" i="219" s="1"/>
  <c r="AR86" i="219" s="1"/>
  <c r="AR87" i="219" s="1"/>
  <c r="AI72" i="219"/>
  <c r="AI85" i="219" s="1"/>
  <c r="AI86" i="219" s="1"/>
  <c r="AI87" i="219" s="1"/>
  <c r="AE102" i="219"/>
  <c r="AA102" i="219"/>
  <c r="W102" i="219"/>
  <c r="AS102" i="219"/>
  <c r="Q102" i="219"/>
  <c r="AP102" i="219"/>
  <c r="N102" i="219"/>
  <c r="AO102" i="219"/>
  <c r="M102" i="219"/>
  <c r="AK102" i="219"/>
  <c r="I102" i="219"/>
  <c r="P102" i="219"/>
  <c r="O102" i="219"/>
  <c r="L102" i="219"/>
  <c r="AH102" i="219"/>
  <c r="AG102" i="219"/>
  <c r="AF102" i="219"/>
  <c r="AD102" i="219"/>
  <c r="Z102" i="219"/>
  <c r="V102" i="219"/>
  <c r="T102" i="219"/>
  <c r="AU102" i="219"/>
  <c r="AT102" i="219"/>
  <c r="AR102" i="219"/>
  <c r="AQ102" i="219"/>
  <c r="AN102" i="219"/>
  <c r="AM102" i="219"/>
  <c r="AL102" i="219"/>
  <c r="AJ102" i="219"/>
  <c r="AI102" i="219"/>
  <c r="AC102" i="219"/>
  <c r="AB102" i="219"/>
  <c r="Y102" i="219"/>
  <c r="X102" i="219"/>
  <c r="U102" i="219"/>
  <c r="S102" i="219"/>
  <c r="R102" i="219"/>
  <c r="K102" i="219"/>
  <c r="J102" i="219"/>
  <c r="H102" i="219"/>
  <c r="G102" i="219"/>
  <c r="U38" i="219"/>
  <c r="AN38" i="219"/>
  <c r="K38" i="219"/>
  <c r="AH38" i="219"/>
  <c r="AD38" i="219"/>
  <c r="AR38" i="219"/>
  <c r="L38" i="219"/>
  <c r="AQ38" i="219"/>
  <c r="J38" i="219"/>
  <c r="AP38" i="219"/>
  <c r="I38" i="219"/>
  <c r="AO38" i="219"/>
  <c r="H38" i="219"/>
  <c r="AM38" i="219"/>
  <c r="G38" i="219"/>
  <c r="AL38" i="219"/>
  <c r="AK38" i="219"/>
  <c r="AJ38" i="219"/>
  <c r="AI38" i="219"/>
  <c r="AG38" i="219"/>
  <c r="AF38" i="219"/>
  <c r="AE38" i="219"/>
  <c r="AC38" i="219"/>
  <c r="AB38" i="219"/>
  <c r="AA38" i="219"/>
  <c r="Z38" i="219"/>
  <c r="Y38" i="219"/>
  <c r="X38" i="219"/>
  <c r="W38" i="219"/>
  <c r="V38" i="219"/>
  <c r="T38" i="219"/>
  <c r="S38" i="219"/>
  <c r="R38" i="219"/>
  <c r="Q38" i="219"/>
  <c r="P38" i="219"/>
  <c r="AT38" i="219"/>
  <c r="N38" i="219"/>
  <c r="AU38" i="219"/>
  <c r="AS38" i="219"/>
  <c r="M38" i="219"/>
  <c r="O38" i="219"/>
  <c r="AH37" i="219"/>
  <c r="W37" i="219"/>
  <c r="AT37" i="219"/>
  <c r="Q37" i="219"/>
  <c r="AP37" i="219"/>
  <c r="M37" i="219"/>
  <c r="T37" i="219"/>
  <c r="S37" i="219"/>
  <c r="R37" i="219"/>
  <c r="P37" i="219"/>
  <c r="O37" i="219"/>
  <c r="AU37" i="219"/>
  <c r="N37" i="219"/>
  <c r="AS37" i="219"/>
  <c r="L37" i="219"/>
  <c r="AR37" i="219"/>
  <c r="K37" i="219"/>
  <c r="AQ37" i="219"/>
  <c r="J37" i="219"/>
  <c r="AO37" i="219"/>
  <c r="I37" i="219"/>
  <c r="AN37" i="219"/>
  <c r="H37" i="219"/>
  <c r="AM37" i="219"/>
  <c r="G37" i="219"/>
  <c r="AL37" i="219"/>
  <c r="AK37" i="219"/>
  <c r="AJ37" i="219"/>
  <c r="AI37" i="219"/>
  <c r="AG37" i="219"/>
  <c r="AF37" i="219"/>
  <c r="AE37" i="219"/>
  <c r="AD37" i="219"/>
  <c r="AC37" i="219"/>
  <c r="AB37" i="219"/>
  <c r="AA37" i="219"/>
  <c r="Z37" i="219"/>
  <c r="Y37" i="219"/>
  <c r="V37" i="219"/>
  <c r="X37" i="219"/>
  <c r="U37" i="219"/>
  <c r="K73" i="219"/>
  <c r="K76" i="219" s="1"/>
  <c r="K77" i="219" s="1"/>
  <c r="K78" i="219" s="1"/>
  <c r="AM73" i="219"/>
  <c r="AM76" i="219" s="1"/>
  <c r="AM77" i="219" s="1"/>
  <c r="AM78" i="219" s="1"/>
  <c r="Y73" i="219"/>
  <c r="Y76" i="219" s="1"/>
  <c r="Y77" i="219" s="1"/>
  <c r="Y78" i="219" s="1"/>
  <c r="AB73" i="219"/>
  <c r="AB76" i="219" s="1"/>
  <c r="AB77" i="219" s="1"/>
  <c r="AB78" i="219" s="1"/>
  <c r="AG73" i="219"/>
  <c r="AG76" i="219" s="1"/>
  <c r="AG77" i="219" s="1"/>
  <c r="AG78" i="219" s="1"/>
  <c r="AH73" i="219"/>
  <c r="AH76" i="219" s="1"/>
  <c r="AH77" i="219" s="1"/>
  <c r="AH78" i="219" s="1"/>
  <c r="AI73" i="219"/>
  <c r="AI76" i="219" s="1"/>
  <c r="AI77" i="219" s="1"/>
  <c r="AI78" i="219" s="1"/>
  <c r="AJ73" i="219"/>
  <c r="AJ76" i="219" s="1"/>
  <c r="AJ77" i="219" s="1"/>
  <c r="AJ78" i="219" s="1"/>
  <c r="Q73" i="219"/>
  <c r="Q76" i="219" s="1"/>
  <c r="Q77" i="219" s="1"/>
  <c r="Q78" i="219" s="1"/>
  <c r="R73" i="219"/>
  <c r="R76" i="219" s="1"/>
  <c r="R77" i="219" s="1"/>
  <c r="R78" i="219" s="1"/>
  <c r="S73" i="219"/>
  <c r="S76" i="219" s="1"/>
  <c r="S77" i="219" s="1"/>
  <c r="S78" i="219" s="1"/>
  <c r="W73" i="219"/>
  <c r="W76" i="219" s="1"/>
  <c r="W77" i="219" s="1"/>
  <c r="W78" i="219" s="1"/>
  <c r="AD73" i="219"/>
  <c r="AD76" i="219" s="1"/>
  <c r="AD77" i="219" s="1"/>
  <c r="AD78" i="219" s="1"/>
  <c r="M73" i="219"/>
  <c r="M76" i="219" s="1"/>
  <c r="M77" i="219" s="1"/>
  <c r="M78" i="219" s="1"/>
  <c r="N73" i="219"/>
  <c r="N76" i="219" s="1"/>
  <c r="N77" i="219" s="1"/>
  <c r="N78" i="219" s="1"/>
  <c r="O73" i="219"/>
  <c r="O76" i="219" s="1"/>
  <c r="O77" i="219" s="1"/>
  <c r="O78" i="219" s="1"/>
  <c r="P73" i="219"/>
  <c r="P76" i="219" s="1"/>
  <c r="P77" i="219" s="1"/>
  <c r="P78" i="219" s="1"/>
  <c r="T73" i="219"/>
  <c r="T76" i="219" s="1"/>
  <c r="T77" i="219" s="1"/>
  <c r="T78" i="219" s="1"/>
  <c r="G73" i="219"/>
  <c r="G76" i="219" s="1"/>
  <c r="G77" i="219" s="1"/>
  <c r="G78" i="219" s="1"/>
  <c r="U73" i="219"/>
  <c r="U76" i="219" s="1"/>
  <c r="U77" i="219" s="1"/>
  <c r="U78" i="219" s="1"/>
  <c r="X73" i="219"/>
  <c r="X76" i="219" s="1"/>
  <c r="X77" i="219" s="1"/>
  <c r="X78" i="219" s="1"/>
  <c r="Z73" i="219"/>
  <c r="Z76" i="219" s="1"/>
  <c r="Z77" i="219" s="1"/>
  <c r="Z78" i="219" s="1"/>
  <c r="AA73" i="219"/>
  <c r="AA76" i="219" s="1"/>
  <c r="AA77" i="219" s="1"/>
  <c r="AA78" i="219" s="1"/>
  <c r="AC73" i="219"/>
  <c r="AC76" i="219" s="1"/>
  <c r="AC77" i="219" s="1"/>
  <c r="AC78" i="219" s="1"/>
  <c r="AF73" i="219"/>
  <c r="AF76" i="219" s="1"/>
  <c r="AF77" i="219" s="1"/>
  <c r="AF78" i="219" s="1"/>
  <c r="AK73" i="219"/>
  <c r="AK76" i="219" s="1"/>
  <c r="AK77" i="219" s="1"/>
  <c r="AK78" i="219" s="1"/>
  <c r="AL73" i="219"/>
  <c r="AL76" i="219" s="1"/>
  <c r="AL77" i="219" s="1"/>
  <c r="AL78" i="219" s="1"/>
  <c r="AN73" i="219"/>
  <c r="AN76" i="219" s="1"/>
  <c r="AN77" i="219" s="1"/>
  <c r="AN78" i="219" s="1"/>
  <c r="AO73" i="219"/>
  <c r="AO76" i="219" s="1"/>
  <c r="AO77" i="219" s="1"/>
  <c r="AO78" i="219" s="1"/>
  <c r="AP73" i="219"/>
  <c r="AP76" i="219" s="1"/>
  <c r="AP77" i="219" s="1"/>
  <c r="AP78" i="219" s="1"/>
  <c r="AS73" i="219"/>
  <c r="AS76" i="219" s="1"/>
  <c r="AS77" i="219" s="1"/>
  <c r="AS78" i="219" s="1"/>
  <c r="I73" i="219"/>
  <c r="I76" i="219" s="1"/>
  <c r="I77" i="219" s="1"/>
  <c r="I78" i="219" s="1"/>
  <c r="H73" i="219"/>
  <c r="H76" i="219" s="1"/>
  <c r="H77" i="219" s="1"/>
  <c r="H78" i="219" s="1"/>
  <c r="J73" i="219"/>
  <c r="J76" i="219" s="1"/>
  <c r="J77" i="219" s="1"/>
  <c r="J78" i="219" s="1"/>
  <c r="L73" i="219"/>
  <c r="L76" i="219" s="1"/>
  <c r="L77" i="219" s="1"/>
  <c r="L78" i="219" s="1"/>
  <c r="V73" i="219"/>
  <c r="V76" i="219" s="1"/>
  <c r="V77" i="219" s="1"/>
  <c r="V78" i="219" s="1"/>
  <c r="AE73" i="219"/>
  <c r="AE76" i="219" s="1"/>
  <c r="AE77" i="219" s="1"/>
  <c r="AE78" i="219" s="1"/>
  <c r="AQ73" i="219"/>
  <c r="AQ76" i="219" s="1"/>
  <c r="AQ77" i="219" s="1"/>
  <c r="AQ78" i="219" s="1"/>
  <c r="AR73" i="219"/>
  <c r="AR76" i="219" s="1"/>
  <c r="AR77" i="219" s="1"/>
  <c r="AR78" i="219" s="1"/>
  <c r="AT73" i="219"/>
  <c r="AT76" i="219" s="1"/>
  <c r="AT77" i="219" s="1"/>
  <c r="AT78" i="219" s="1"/>
  <c r="AU73" i="219"/>
  <c r="AU76" i="219" s="1"/>
  <c r="AU77" i="219" s="1"/>
  <c r="AU78" i="219" s="1"/>
  <c r="R59" i="219"/>
  <c r="AT59" i="219"/>
  <c r="AF59" i="219"/>
  <c r="Q59" i="219"/>
  <c r="S59" i="219"/>
  <c r="T59" i="219"/>
  <c r="U59" i="219"/>
  <c r="V59" i="219"/>
  <c r="AB59" i="219"/>
  <c r="AG59" i="219"/>
  <c r="AK59" i="219"/>
  <c r="I59" i="219"/>
  <c r="AN59" i="219"/>
  <c r="AA59" i="219"/>
  <c r="AC59" i="219"/>
  <c r="AD59" i="219"/>
  <c r="AE59" i="219"/>
  <c r="AH59" i="219"/>
  <c r="AI59" i="219"/>
  <c r="AJ59" i="219"/>
  <c r="AL59" i="219"/>
  <c r="AM59" i="219"/>
  <c r="AO59" i="219"/>
  <c r="AP59" i="219"/>
  <c r="AQ59" i="219"/>
  <c r="AR59" i="219"/>
  <c r="AS59" i="219"/>
  <c r="G59" i="219"/>
  <c r="AU59" i="219"/>
  <c r="H59" i="219"/>
  <c r="J59" i="219"/>
  <c r="K59" i="219"/>
  <c r="L59" i="219"/>
  <c r="M59" i="219"/>
  <c r="N59" i="219"/>
  <c r="O59" i="219"/>
  <c r="P59" i="219"/>
  <c r="W59" i="219"/>
  <c r="Y59" i="219"/>
  <c r="Z59" i="219"/>
  <c r="X59" i="219"/>
  <c r="AA74" i="219"/>
  <c r="AA82" i="219" s="1"/>
  <c r="AA83" i="219" s="1"/>
  <c r="AA84" i="219" s="1"/>
  <c r="M74" i="219"/>
  <c r="M82" i="219" s="1"/>
  <c r="M83" i="219" s="1"/>
  <c r="M84" i="219" s="1"/>
  <c r="AO74" i="219"/>
  <c r="AO82" i="219" s="1"/>
  <c r="AO83" i="219" s="1"/>
  <c r="AO84" i="219" s="1"/>
  <c r="P74" i="219"/>
  <c r="P82" i="219" s="1"/>
  <c r="P83" i="219" s="1"/>
  <c r="P84" i="219" s="1"/>
  <c r="AR74" i="219"/>
  <c r="AR82" i="219" s="1"/>
  <c r="AR83" i="219" s="1"/>
  <c r="AR84" i="219" s="1"/>
  <c r="U74" i="219"/>
  <c r="U82" i="219" s="1"/>
  <c r="U83" i="219" s="1"/>
  <c r="U84" i="219" s="1"/>
  <c r="Z74" i="219"/>
  <c r="Z82" i="219" s="1"/>
  <c r="Z83" i="219" s="1"/>
  <c r="Z84" i="219" s="1"/>
  <c r="AB74" i="219"/>
  <c r="AB82" i="219" s="1"/>
  <c r="AB83" i="219" s="1"/>
  <c r="AB84" i="219" s="1"/>
  <c r="AC74" i="219"/>
  <c r="AC82" i="219" s="1"/>
  <c r="AC83" i="219" s="1"/>
  <c r="AC84" i="219" s="1"/>
  <c r="I74" i="219"/>
  <c r="I82" i="219" s="1"/>
  <c r="I83" i="219" s="1"/>
  <c r="I84" i="219" s="1"/>
  <c r="AP74" i="219"/>
  <c r="AP82" i="219" s="1"/>
  <c r="AP83" i="219" s="1"/>
  <c r="AP84" i="219" s="1"/>
  <c r="J74" i="219"/>
  <c r="J82" i="219" s="1"/>
  <c r="J83" i="219" s="1"/>
  <c r="J84" i="219" s="1"/>
  <c r="AQ74" i="219"/>
  <c r="AQ82" i="219" s="1"/>
  <c r="AQ83" i="219" s="1"/>
  <c r="AQ84" i="219" s="1"/>
  <c r="K74" i="219"/>
  <c r="K82" i="219" s="1"/>
  <c r="K83" i="219" s="1"/>
  <c r="K84" i="219" s="1"/>
  <c r="AS74" i="219"/>
  <c r="AS82" i="219" s="1"/>
  <c r="AS83" i="219" s="1"/>
  <c r="AS84" i="219" s="1"/>
  <c r="Q74" i="219"/>
  <c r="Q82" i="219" s="1"/>
  <c r="Q83" i="219" s="1"/>
  <c r="Q84" i="219" s="1"/>
  <c r="W74" i="219"/>
  <c r="W82" i="219" s="1"/>
  <c r="W83" i="219" s="1"/>
  <c r="W84" i="219" s="1"/>
  <c r="S74" i="219"/>
  <c r="S82" i="219" s="1"/>
  <c r="S83" i="219" s="1"/>
  <c r="S84" i="219" s="1"/>
  <c r="T74" i="219"/>
  <c r="T82" i="219" s="1"/>
  <c r="T83" i="219" s="1"/>
  <c r="T84" i="219" s="1"/>
  <c r="V74" i="219"/>
  <c r="V82" i="219" s="1"/>
  <c r="V83" i="219" s="1"/>
  <c r="V84" i="219" s="1"/>
  <c r="X74" i="219"/>
  <c r="X82" i="219" s="1"/>
  <c r="X83" i="219" s="1"/>
  <c r="X84" i="219" s="1"/>
  <c r="Y74" i="219"/>
  <c r="Y82" i="219" s="1"/>
  <c r="Y83" i="219" s="1"/>
  <c r="Y84" i="219" s="1"/>
  <c r="AD74" i="219"/>
  <c r="AD82" i="219" s="1"/>
  <c r="AD83" i="219" s="1"/>
  <c r="AD84" i="219" s="1"/>
  <c r="AF74" i="219"/>
  <c r="AF82" i="219" s="1"/>
  <c r="AF83" i="219" s="1"/>
  <c r="AF84" i="219" s="1"/>
  <c r="AG74" i="219"/>
  <c r="AG82" i="219" s="1"/>
  <c r="AG83" i="219" s="1"/>
  <c r="AG84" i="219" s="1"/>
  <c r="AH74" i="219"/>
  <c r="AH82" i="219" s="1"/>
  <c r="AH83" i="219" s="1"/>
  <c r="AH84" i="219" s="1"/>
  <c r="AI74" i="219"/>
  <c r="AI82" i="219" s="1"/>
  <c r="AI83" i="219" s="1"/>
  <c r="AI84" i="219" s="1"/>
  <c r="AK74" i="219"/>
  <c r="AK82" i="219" s="1"/>
  <c r="AK83" i="219" s="1"/>
  <c r="AK84" i="219" s="1"/>
  <c r="AL74" i="219"/>
  <c r="AL82" i="219" s="1"/>
  <c r="AL83" i="219" s="1"/>
  <c r="AL84" i="219" s="1"/>
  <c r="AM74" i="219"/>
  <c r="AM82" i="219" s="1"/>
  <c r="AM83" i="219" s="1"/>
  <c r="AM84" i="219" s="1"/>
  <c r="AN74" i="219"/>
  <c r="AN82" i="219" s="1"/>
  <c r="AN83" i="219" s="1"/>
  <c r="AN84" i="219" s="1"/>
  <c r="AT74" i="219"/>
  <c r="AT82" i="219" s="1"/>
  <c r="AT83" i="219" s="1"/>
  <c r="AT84" i="219" s="1"/>
  <c r="AU74" i="219"/>
  <c r="AU82" i="219" s="1"/>
  <c r="AU83" i="219" s="1"/>
  <c r="AU84" i="219" s="1"/>
  <c r="N74" i="219"/>
  <c r="N82" i="219" s="1"/>
  <c r="N83" i="219" s="1"/>
  <c r="N84" i="219" s="1"/>
  <c r="G74" i="219"/>
  <c r="G82" i="219" s="1"/>
  <c r="G83" i="219" s="1"/>
  <c r="G84" i="219" s="1"/>
  <c r="H74" i="219"/>
  <c r="H82" i="219" s="1"/>
  <c r="H83" i="219" s="1"/>
  <c r="H84" i="219" s="1"/>
  <c r="L74" i="219"/>
  <c r="L82" i="219" s="1"/>
  <c r="L83" i="219" s="1"/>
  <c r="L84" i="219" s="1"/>
  <c r="O74" i="219"/>
  <c r="O82" i="219" s="1"/>
  <c r="O83" i="219" s="1"/>
  <c r="O84" i="219" s="1"/>
  <c r="R74" i="219"/>
  <c r="R82" i="219" s="1"/>
  <c r="R83" i="219" s="1"/>
  <c r="R84" i="219" s="1"/>
  <c r="AE74" i="219"/>
  <c r="AE82" i="219" s="1"/>
  <c r="AE83" i="219" s="1"/>
  <c r="AE84" i="219" s="1"/>
  <c r="AJ74" i="219"/>
  <c r="AJ82" i="219" s="1"/>
  <c r="AJ83" i="219" s="1"/>
  <c r="AJ84" i="219" s="1"/>
  <c r="K54" i="219"/>
  <c r="G54" i="219"/>
  <c r="H54" i="219"/>
  <c r="I54" i="219"/>
  <c r="J54" i="219"/>
  <c r="L54" i="219"/>
  <c r="M54" i="219"/>
  <c r="N54" i="219"/>
  <c r="O54" i="219"/>
  <c r="O75" i="219"/>
  <c r="O91" i="219" s="1"/>
  <c r="AQ75" i="219"/>
  <c r="AQ91" i="219" s="1"/>
  <c r="AC75" i="219"/>
  <c r="AC91" i="219" s="1"/>
  <c r="AF75" i="219"/>
  <c r="AF91" i="219" s="1"/>
  <c r="I75" i="219"/>
  <c r="I91" i="219" s="1"/>
  <c r="AK75" i="219"/>
  <c r="AK91" i="219" s="1"/>
  <c r="S75" i="219"/>
  <c r="S91" i="219" s="1"/>
  <c r="T75" i="219"/>
  <c r="T91" i="219" s="1"/>
  <c r="U75" i="219"/>
  <c r="U91" i="219" s="1"/>
  <c r="AI75" i="219"/>
  <c r="AI91" i="219" s="1"/>
  <c r="AJ75" i="219"/>
  <c r="AJ91" i="219" s="1"/>
  <c r="AL75" i="219"/>
  <c r="AL91" i="219" s="1"/>
  <c r="J75" i="219"/>
  <c r="J91" i="219" s="1"/>
  <c r="AP75" i="219"/>
  <c r="AP91" i="219" s="1"/>
  <c r="G75" i="219"/>
  <c r="G91" i="219" s="1"/>
  <c r="P75" i="219"/>
  <c r="P91" i="219" s="1"/>
  <c r="Y75" i="219"/>
  <c r="Y91" i="219" s="1"/>
  <c r="Z75" i="219"/>
  <c r="Z91" i="219" s="1"/>
  <c r="AA75" i="219"/>
  <c r="AA91" i="219" s="1"/>
  <c r="AB75" i="219"/>
  <c r="AB91" i="219" s="1"/>
  <c r="AD75" i="219"/>
  <c r="AD91" i="219" s="1"/>
  <c r="AE75" i="219"/>
  <c r="AE91" i="219" s="1"/>
  <c r="AH75" i="219"/>
  <c r="AH91" i="219" s="1"/>
  <c r="AM75" i="219"/>
  <c r="AM91" i="219" s="1"/>
  <c r="AN75" i="219"/>
  <c r="AN91" i="219" s="1"/>
  <c r="AO75" i="219"/>
  <c r="AO91" i="219" s="1"/>
  <c r="AS75" i="219"/>
  <c r="AS91" i="219" s="1"/>
  <c r="AT75" i="219"/>
  <c r="AT91" i="219" s="1"/>
  <c r="AU75" i="219"/>
  <c r="AU91" i="219" s="1"/>
  <c r="L75" i="219"/>
  <c r="L91" i="219" s="1"/>
  <c r="V75" i="219"/>
  <c r="V91" i="219" s="1"/>
  <c r="H75" i="219"/>
  <c r="H91" i="219" s="1"/>
  <c r="K75" i="219"/>
  <c r="K91" i="219" s="1"/>
  <c r="M75" i="219"/>
  <c r="M91" i="219" s="1"/>
  <c r="N75" i="219"/>
  <c r="N91" i="219" s="1"/>
  <c r="Q75" i="219"/>
  <c r="Q91" i="219" s="1"/>
  <c r="R75" i="219"/>
  <c r="R91" i="219" s="1"/>
  <c r="W75" i="219"/>
  <c r="W91" i="219" s="1"/>
  <c r="X75" i="219"/>
  <c r="X91" i="219" s="1"/>
  <c r="AR75" i="219"/>
  <c r="AR91" i="219" s="1"/>
  <c r="AG75" i="219"/>
  <c r="AG91" i="219" s="1"/>
  <c r="AN47" i="219"/>
  <c r="L47" i="219"/>
  <c r="Z47" i="219"/>
  <c r="W47" i="219"/>
  <c r="AB47" i="219"/>
  <c r="T47" i="219"/>
  <c r="AU47" i="219"/>
  <c r="P47" i="219"/>
  <c r="AO47" i="219"/>
  <c r="AM47" i="219"/>
  <c r="AL47" i="219"/>
  <c r="AK47" i="219"/>
  <c r="AJ47" i="219"/>
  <c r="AI47" i="219"/>
  <c r="AH47" i="219"/>
  <c r="AG47" i="219"/>
  <c r="AF47" i="219"/>
  <c r="AE47" i="219"/>
  <c r="AD47" i="219"/>
  <c r="AC47" i="219"/>
  <c r="AA47" i="219"/>
  <c r="Y47" i="219"/>
  <c r="X47" i="219"/>
  <c r="V47" i="219"/>
  <c r="U47" i="219"/>
  <c r="S47" i="219"/>
  <c r="R47" i="219"/>
  <c r="Q47" i="219"/>
  <c r="O47" i="219"/>
  <c r="N47" i="219"/>
  <c r="M47" i="219"/>
  <c r="AT47" i="219"/>
  <c r="K47" i="219"/>
  <c r="AS47" i="219"/>
  <c r="J47" i="219"/>
  <c r="AQ47" i="219"/>
  <c r="H47" i="219"/>
  <c r="AR47" i="219"/>
  <c r="AP47" i="219"/>
  <c r="I47" i="219"/>
  <c r="G47" i="219"/>
  <c r="M48" i="219"/>
  <c r="L48" i="219"/>
  <c r="J48" i="219"/>
  <c r="N48" i="219"/>
  <c r="K48" i="219"/>
  <c r="I48" i="219"/>
  <c r="H48" i="219"/>
  <c r="G48" i="219"/>
  <c r="AD58" i="219"/>
  <c r="P58" i="219"/>
  <c r="AR58" i="219"/>
  <c r="AA58" i="219"/>
  <c r="Z58" i="219"/>
  <c r="AB58" i="219"/>
  <c r="AC58" i="219"/>
  <c r="AE58" i="219"/>
  <c r="AF58" i="219"/>
  <c r="AK58" i="219"/>
  <c r="J58" i="219"/>
  <c r="AO58" i="219"/>
  <c r="N58" i="219"/>
  <c r="AT58" i="219"/>
  <c r="R58" i="219"/>
  <c r="W58" i="219"/>
  <c r="T58" i="219"/>
  <c r="U58" i="219"/>
  <c r="V58" i="219"/>
  <c r="X58" i="219"/>
  <c r="Y58" i="219"/>
  <c r="AG58" i="219"/>
  <c r="AH58" i="219"/>
  <c r="AI58" i="219"/>
  <c r="AJ58" i="219"/>
  <c r="AL58" i="219"/>
  <c r="AM58" i="219"/>
  <c r="AN58" i="219"/>
  <c r="AP58" i="219"/>
  <c r="G58" i="219"/>
  <c r="AQ58" i="219"/>
  <c r="AS58" i="219"/>
  <c r="AU58" i="219"/>
  <c r="H58" i="219"/>
  <c r="I58" i="219"/>
  <c r="K58" i="219"/>
  <c r="L58" i="219"/>
  <c r="M58" i="219"/>
  <c r="Q58" i="219"/>
  <c r="S58" i="219"/>
  <c r="O58" i="219"/>
  <c r="AP24" i="219"/>
  <c r="N24" i="219"/>
  <c r="AJ24" i="219"/>
  <c r="AK24" i="219"/>
  <c r="G24" i="219"/>
  <c r="AI24" i="219"/>
  <c r="AH24" i="219"/>
  <c r="AG24" i="219"/>
  <c r="AF24" i="219"/>
  <c r="AE24" i="219"/>
  <c r="AD24" i="219"/>
  <c r="AC24" i="219"/>
  <c r="AB24" i="219"/>
  <c r="AA24" i="219"/>
  <c r="Z24" i="219"/>
  <c r="Y24" i="219"/>
  <c r="X24" i="219"/>
  <c r="W24" i="219"/>
  <c r="V24" i="219"/>
  <c r="U24" i="219"/>
  <c r="T24" i="219"/>
  <c r="S24" i="219"/>
  <c r="R24" i="219"/>
  <c r="AU24" i="219"/>
  <c r="Q24" i="219"/>
  <c r="AT24" i="219"/>
  <c r="P24" i="219"/>
  <c r="AS24" i="219"/>
  <c r="O24" i="219"/>
  <c r="AR24" i="219"/>
  <c r="M24" i="219"/>
  <c r="AQ24" i="219"/>
  <c r="L24" i="219"/>
  <c r="AO24" i="219"/>
  <c r="K24" i="219"/>
  <c r="AM24" i="219"/>
  <c r="I24" i="219"/>
  <c r="AN24" i="219"/>
  <c r="AL24" i="219"/>
  <c r="J24" i="219"/>
  <c r="H24" i="219"/>
  <c r="N49" i="219"/>
  <c r="H49" i="219"/>
  <c r="M49" i="219"/>
  <c r="L49" i="219"/>
  <c r="K49" i="219"/>
  <c r="J49" i="219"/>
  <c r="I49" i="219"/>
  <c r="G49" i="219"/>
  <c r="H50" i="219"/>
  <c r="L50" i="219"/>
  <c r="I50" i="219"/>
  <c r="J50" i="219"/>
  <c r="K50" i="219"/>
  <c r="N50" i="219"/>
  <c r="M50" i="219"/>
  <c r="J40" i="219"/>
  <c r="N40" i="219"/>
  <c r="M40" i="219"/>
  <c r="L40" i="219"/>
  <c r="K40" i="219"/>
  <c r="I40" i="219"/>
  <c r="H40" i="219"/>
  <c r="G40" i="219"/>
  <c r="H51" i="219"/>
  <c r="K51" i="219"/>
  <c r="M51" i="219"/>
  <c r="N51" i="219"/>
  <c r="G51" i="219"/>
  <c r="J51" i="219"/>
  <c r="L51" i="219"/>
  <c r="I51" i="219"/>
  <c r="I52" i="219"/>
  <c r="M52" i="219"/>
  <c r="G52" i="219"/>
  <c r="H52" i="219"/>
  <c r="J52" i="219"/>
  <c r="K52" i="219"/>
  <c r="L52" i="219"/>
  <c r="N52" i="219"/>
  <c r="L71" i="219"/>
  <c r="G71" i="219"/>
  <c r="H71" i="219"/>
  <c r="I71" i="219"/>
  <c r="J71" i="219"/>
  <c r="K71" i="219"/>
  <c r="M71" i="219"/>
  <c r="N71" i="219"/>
  <c r="Z56" i="219"/>
  <c r="L56" i="219"/>
  <c r="AN56" i="219"/>
  <c r="O56" i="219"/>
  <c r="T56" i="219"/>
  <c r="P56" i="219"/>
  <c r="AU56" i="219"/>
  <c r="J56" i="219"/>
  <c r="AR56" i="219"/>
  <c r="K56" i="219"/>
  <c r="AS56" i="219"/>
  <c r="M56" i="219"/>
  <c r="AT56" i="219"/>
  <c r="N56" i="219"/>
  <c r="AC25" i="219"/>
  <c r="Q56" i="219"/>
  <c r="U56" i="219"/>
  <c r="W56" i="219"/>
  <c r="W25" i="219"/>
  <c r="AB56" i="219"/>
  <c r="AF56" i="219"/>
  <c r="AI56" i="219"/>
  <c r="AO56" i="219"/>
  <c r="Z25" i="219"/>
  <c r="Y25" i="219"/>
  <c r="X25" i="219"/>
  <c r="V25" i="219"/>
  <c r="U25" i="219"/>
  <c r="T25" i="219"/>
  <c r="S25" i="219"/>
  <c r="H56" i="219"/>
  <c r="R25" i="219"/>
  <c r="I56" i="219"/>
  <c r="AU25" i="219"/>
  <c r="Q25" i="219"/>
  <c r="R56" i="219"/>
  <c r="AT25" i="219"/>
  <c r="P25" i="219"/>
  <c r="S56" i="219"/>
  <c r="AS25" i="219"/>
  <c r="O25" i="219"/>
  <c r="V56" i="219"/>
  <c r="AR25" i="219"/>
  <c r="N25" i="219"/>
  <c r="X56" i="219"/>
  <c r="AQ25" i="219"/>
  <c r="M25" i="219"/>
  <c r="Y56" i="219"/>
  <c r="AP25" i="219"/>
  <c r="L25" i="219"/>
  <c r="AA56" i="219"/>
  <c r="AO25" i="219"/>
  <c r="K25" i="219"/>
  <c r="AC56" i="219"/>
  <c r="AN25" i="219"/>
  <c r="J25" i="219"/>
  <c r="AD56" i="219"/>
  <c r="AM25" i="219"/>
  <c r="I25" i="219"/>
  <c r="AE56" i="219"/>
  <c r="AL25" i="219"/>
  <c r="H25" i="219"/>
  <c r="AG56" i="219"/>
  <c r="AK25" i="219"/>
  <c r="G25" i="219"/>
  <c r="AH56" i="219"/>
  <c r="G56" i="219"/>
  <c r="AJ25" i="219"/>
  <c r="AJ56" i="219"/>
  <c r="AI25" i="219"/>
  <c r="AK56" i="219"/>
  <c r="AH25" i="219"/>
  <c r="AL56" i="219"/>
  <c r="AG25" i="219"/>
  <c r="AM56" i="219"/>
  <c r="AF25" i="219"/>
  <c r="AP56" i="219"/>
  <c r="AE25" i="219"/>
  <c r="AB25" i="219"/>
  <c r="AD25" i="219"/>
  <c r="AA25" i="219"/>
  <c r="AQ56" i="219"/>
  <c r="J55" i="219"/>
  <c r="AL55" i="219"/>
  <c r="X55" i="219"/>
  <c r="AA55" i="219"/>
  <c r="AF55" i="219"/>
  <c r="V55" i="219"/>
  <c r="AL41" i="219"/>
  <c r="J41" i="219"/>
  <c r="Q55" i="219"/>
  <c r="R55" i="219"/>
  <c r="S55" i="219"/>
  <c r="T55" i="219"/>
  <c r="AG41" i="219"/>
  <c r="U55" i="219"/>
  <c r="Z55" i="219"/>
  <c r="AC55" i="219"/>
  <c r="AA41" i="219"/>
  <c r="AH55" i="219"/>
  <c r="W41" i="219"/>
  <c r="AM55" i="219"/>
  <c r="H55" i="219"/>
  <c r="AP55" i="219"/>
  <c r="N55" i="219"/>
  <c r="AU55" i="219"/>
  <c r="AK55" i="219"/>
  <c r="R41" i="219"/>
  <c r="AN55" i="219"/>
  <c r="Q41" i="219"/>
  <c r="AO55" i="219"/>
  <c r="P41" i="219"/>
  <c r="AQ55" i="219"/>
  <c r="AU41" i="219"/>
  <c r="O41" i="219"/>
  <c r="AR55" i="219"/>
  <c r="AT41" i="219"/>
  <c r="N41" i="219"/>
  <c r="AS55" i="219"/>
  <c r="AS41" i="219"/>
  <c r="M41" i="219"/>
  <c r="AT55" i="219"/>
  <c r="AR41" i="219"/>
  <c r="L41" i="219"/>
  <c r="AQ41" i="219"/>
  <c r="K41" i="219"/>
  <c r="AP41" i="219"/>
  <c r="I41" i="219"/>
  <c r="AO41" i="219"/>
  <c r="H41" i="219"/>
  <c r="AN41" i="219"/>
  <c r="G41" i="219"/>
  <c r="AM41" i="219"/>
  <c r="AK41" i="219"/>
  <c r="AJ41" i="219"/>
  <c r="I55" i="219"/>
  <c r="AI41" i="219"/>
  <c r="K55" i="219"/>
  <c r="AH41" i="219"/>
  <c r="L55" i="219"/>
  <c r="AF41" i="219"/>
  <c r="M55" i="219"/>
  <c r="AE41" i="219"/>
  <c r="O55" i="219"/>
  <c r="AD41" i="219"/>
  <c r="P55" i="219"/>
  <c r="AC41" i="219"/>
  <c r="W55" i="219"/>
  <c r="G55" i="219"/>
  <c r="AB41" i="219"/>
  <c r="Y55" i="219"/>
  <c r="Z41" i="219"/>
  <c r="AB55" i="219"/>
  <c r="Y41" i="219"/>
  <c r="AD55" i="219"/>
  <c r="X41" i="219"/>
  <c r="AE55" i="219"/>
  <c r="V41" i="219"/>
  <c r="AI55" i="219"/>
  <c r="T41" i="219"/>
  <c r="AJ55" i="219"/>
  <c r="U41" i="219"/>
  <c r="S41" i="219"/>
  <c r="AG55" i="219"/>
  <c r="AR26" i="219"/>
  <c r="P26" i="219"/>
  <c r="AL26" i="219"/>
  <c r="J26" i="219"/>
  <c r="AT26" i="219"/>
  <c r="O26" i="219"/>
  <c r="AS26" i="219"/>
  <c r="N26" i="219"/>
  <c r="AQ26" i="219"/>
  <c r="M26" i="219"/>
  <c r="AP26" i="219"/>
  <c r="L26" i="219"/>
  <c r="AO26" i="219"/>
  <c r="K26" i="219"/>
  <c r="AN26" i="219"/>
  <c r="I26" i="219"/>
  <c r="AM26" i="219"/>
  <c r="H26" i="219"/>
  <c r="AK26" i="219"/>
  <c r="G26" i="219"/>
  <c r="AJ26" i="219"/>
  <c r="AI26" i="219"/>
  <c r="AH26" i="219"/>
  <c r="AG26" i="219"/>
  <c r="AF26" i="219"/>
  <c r="AE26" i="219"/>
  <c r="AD26" i="219"/>
  <c r="AC26" i="219"/>
  <c r="AB26" i="219"/>
  <c r="AA26" i="219"/>
  <c r="Z26" i="219"/>
  <c r="Y26" i="219"/>
  <c r="X26" i="219"/>
  <c r="W26" i="219"/>
  <c r="V26" i="219"/>
  <c r="U26" i="219"/>
  <c r="T26" i="219"/>
  <c r="R26" i="219"/>
  <c r="S26" i="219"/>
  <c r="Q26" i="219"/>
  <c r="AU26" i="219"/>
  <c r="K42" i="219"/>
  <c r="I42" i="219"/>
  <c r="H42" i="219"/>
  <c r="G42" i="219"/>
  <c r="N42" i="219"/>
  <c r="L42" i="219"/>
  <c r="M42" i="219"/>
  <c r="J42" i="219"/>
  <c r="J53" i="219"/>
  <c r="N53" i="219"/>
  <c r="I53" i="219"/>
  <c r="G53" i="219"/>
  <c r="H53" i="219"/>
  <c r="K53" i="219"/>
  <c r="L53" i="219"/>
  <c r="M53" i="219"/>
  <c r="H60" i="219"/>
  <c r="J60" i="219"/>
  <c r="K60" i="219"/>
  <c r="L60" i="219"/>
  <c r="M60" i="219"/>
  <c r="G60" i="219"/>
  <c r="I60" i="219"/>
  <c r="N60" i="219"/>
  <c r="AE27" i="219"/>
  <c r="Y27" i="219"/>
  <c r="U27" i="219"/>
  <c r="AJ27" i="219"/>
  <c r="AI27" i="219"/>
  <c r="AH27" i="219"/>
  <c r="AG27" i="219"/>
  <c r="AF27" i="219"/>
  <c r="AD27" i="219"/>
  <c r="AC27" i="219"/>
  <c r="AB27" i="219"/>
  <c r="AA27" i="219"/>
  <c r="Z27" i="219"/>
  <c r="X27" i="219"/>
  <c r="W27" i="219"/>
  <c r="V27" i="219"/>
  <c r="T27" i="219"/>
  <c r="S27" i="219"/>
  <c r="R27" i="219"/>
  <c r="Q27" i="219"/>
  <c r="AU27" i="219"/>
  <c r="P27" i="219"/>
  <c r="AT27" i="219"/>
  <c r="O27" i="219"/>
  <c r="AS27" i="219"/>
  <c r="N27" i="219"/>
  <c r="AR27" i="219"/>
  <c r="M27" i="219"/>
  <c r="AQ27" i="219"/>
  <c r="L27" i="219"/>
  <c r="AP27" i="219"/>
  <c r="K27" i="219"/>
  <c r="AO27" i="219"/>
  <c r="J27" i="219"/>
  <c r="AN27" i="219"/>
  <c r="I27" i="219"/>
  <c r="AL27" i="219"/>
  <c r="G27" i="219"/>
  <c r="AK27" i="219"/>
  <c r="H27" i="219"/>
  <c r="AM27" i="219"/>
  <c r="L43" i="219"/>
  <c r="K30" i="239" s="1"/>
  <c r="I43" i="219"/>
  <c r="N43" i="219"/>
  <c r="M43" i="219"/>
  <c r="K43" i="219"/>
  <c r="J43" i="219"/>
  <c r="H43" i="219"/>
  <c r="G43" i="219"/>
  <c r="AT28" i="219"/>
  <c r="R28" i="219"/>
  <c r="AN28" i="219"/>
  <c r="L28" i="219"/>
  <c r="K35" i="239" s="1"/>
  <c r="AJ28" i="219"/>
  <c r="H28" i="219"/>
  <c r="Z28" i="219"/>
  <c r="Y28" i="219"/>
  <c r="X28" i="219"/>
  <c r="W28" i="219"/>
  <c r="V28" i="219"/>
  <c r="U28" i="219"/>
  <c r="T28" i="219"/>
  <c r="S28" i="219"/>
  <c r="Q28" i="219"/>
  <c r="P28" i="219"/>
  <c r="AU28" i="219"/>
  <c r="O28" i="219"/>
  <c r="AS28" i="219"/>
  <c r="N28" i="219"/>
  <c r="AR28" i="219"/>
  <c r="M28" i="219"/>
  <c r="AQ28" i="219"/>
  <c r="K28" i="219"/>
  <c r="AP28" i="219"/>
  <c r="J28" i="219"/>
  <c r="AO28" i="219"/>
  <c r="I28" i="219"/>
  <c r="AM28" i="219"/>
  <c r="G28" i="219"/>
  <c r="AL28" i="219"/>
  <c r="AK28" i="219"/>
  <c r="AI28" i="219"/>
  <c r="AH28" i="219"/>
  <c r="AG28" i="219"/>
  <c r="AF28" i="219"/>
  <c r="AE28" i="219"/>
  <c r="AD28" i="219"/>
  <c r="AB28" i="219"/>
  <c r="AA28" i="219"/>
  <c r="AC28" i="219"/>
  <c r="AB44" i="219"/>
  <c r="AA44" i="219"/>
  <c r="U44" i="219"/>
  <c r="AT44" i="219"/>
  <c r="Q44" i="219"/>
  <c r="Z44" i="219"/>
  <c r="Y44" i="219"/>
  <c r="X44" i="219"/>
  <c r="W44" i="219"/>
  <c r="V44" i="219"/>
  <c r="T44" i="219"/>
  <c r="S44" i="219"/>
  <c r="R44" i="219"/>
  <c r="P44" i="219"/>
  <c r="O44" i="219"/>
  <c r="AU44" i="219"/>
  <c r="N44" i="219"/>
  <c r="AS44" i="219"/>
  <c r="M44" i="219"/>
  <c r="AR44" i="219"/>
  <c r="L44" i="219"/>
  <c r="K32" i="239" s="1"/>
  <c r="L32" i="239" s="1"/>
  <c r="M32" i="239" s="1"/>
  <c r="R28" i="239" s="1"/>
  <c r="AQ44" i="219"/>
  <c r="K44" i="219"/>
  <c r="AP44" i="219"/>
  <c r="J44" i="219"/>
  <c r="AO44" i="219"/>
  <c r="I44" i="219"/>
  <c r="AN44" i="219"/>
  <c r="H44" i="219"/>
  <c r="AM44" i="219"/>
  <c r="AL44" i="219"/>
  <c r="AK44" i="219"/>
  <c r="AJ44" i="219"/>
  <c r="G44" i="219"/>
  <c r="AI44" i="219"/>
  <c r="AH44" i="219"/>
  <c r="AG44" i="219"/>
  <c r="AF44" i="219"/>
  <c r="AD44" i="219"/>
  <c r="AC44" i="219"/>
  <c r="AE44" i="219"/>
  <c r="U101" i="219"/>
  <c r="AT101" i="219"/>
  <c r="R101" i="219"/>
  <c r="AP101" i="219"/>
  <c r="N101" i="219"/>
  <c r="AL101" i="219"/>
  <c r="J101" i="219"/>
  <c r="AI101" i="219"/>
  <c r="AF101" i="219"/>
  <c r="AC101" i="219"/>
  <c r="AB101" i="219"/>
  <c r="Y101" i="219"/>
  <c r="X101" i="219"/>
  <c r="AU101" i="219"/>
  <c r="AS101" i="219"/>
  <c r="AR101" i="219"/>
  <c r="AA101" i="219"/>
  <c r="Z101" i="219"/>
  <c r="W101" i="219"/>
  <c r="V101" i="219"/>
  <c r="Q101" i="219"/>
  <c r="M101" i="219"/>
  <c r="L101" i="219"/>
  <c r="K101" i="219"/>
  <c r="AQ101" i="219"/>
  <c r="AO101" i="219"/>
  <c r="AN101" i="219"/>
  <c r="AM101" i="219"/>
  <c r="AK101" i="219"/>
  <c r="AJ101" i="219"/>
  <c r="AH101" i="219"/>
  <c r="AG101" i="219"/>
  <c r="AE101" i="219"/>
  <c r="AD101" i="219"/>
  <c r="T101" i="219"/>
  <c r="S101" i="219"/>
  <c r="P101" i="219"/>
  <c r="O101" i="219"/>
  <c r="I101" i="219"/>
  <c r="H101" i="219"/>
  <c r="G101" i="219"/>
  <c r="AG29" i="219"/>
  <c r="AA29" i="219"/>
  <c r="W29" i="219"/>
  <c r="AU29" i="219"/>
  <c r="P29" i="219"/>
  <c r="AT29" i="219"/>
  <c r="O29" i="219"/>
  <c r="AS29" i="219"/>
  <c r="N29" i="219"/>
  <c r="AR29" i="219"/>
  <c r="M29" i="219"/>
  <c r="AQ29" i="219"/>
  <c r="L29" i="219"/>
  <c r="K34" i="239" s="1"/>
  <c r="AP29" i="219"/>
  <c r="K29" i="219"/>
  <c r="AO29" i="219"/>
  <c r="J29" i="219"/>
  <c r="AN29" i="219"/>
  <c r="I29" i="219"/>
  <c r="AM29" i="219"/>
  <c r="H29" i="219"/>
  <c r="AL29" i="219"/>
  <c r="G29" i="219"/>
  <c r="AK29" i="219"/>
  <c r="AJ29" i="219"/>
  <c r="AI29" i="219"/>
  <c r="AH29" i="219"/>
  <c r="AF29" i="219"/>
  <c r="AE29" i="219"/>
  <c r="AD29" i="219"/>
  <c r="AC29" i="219"/>
  <c r="AB29" i="219"/>
  <c r="Z29" i="219"/>
  <c r="Y29" i="219"/>
  <c r="X29" i="219"/>
  <c r="V29" i="219"/>
  <c r="U29" i="219"/>
  <c r="T29" i="219"/>
  <c r="R29" i="219"/>
  <c r="Q29" i="219"/>
  <c r="S29" i="219"/>
  <c r="AA67" i="219"/>
  <c r="AA68" i="219" s="1"/>
  <c r="AI67" i="219"/>
  <c r="AI68" i="219" s="1"/>
  <c r="M67" i="219"/>
  <c r="M68" i="219" s="1"/>
  <c r="AO67" i="219"/>
  <c r="AO68" i="219" s="1"/>
  <c r="P67" i="219"/>
  <c r="P68" i="219" s="1"/>
  <c r="AR67" i="219"/>
  <c r="AR68" i="219" s="1"/>
  <c r="U67" i="219"/>
  <c r="U68" i="219" s="1"/>
  <c r="H67" i="219"/>
  <c r="H68" i="219" s="1"/>
  <c r="AP67" i="219"/>
  <c r="AP68" i="219" s="1"/>
  <c r="I67" i="219"/>
  <c r="I68" i="219" s="1"/>
  <c r="AQ67" i="219"/>
  <c r="AQ68" i="219" s="1"/>
  <c r="J67" i="219"/>
  <c r="J68" i="219" s="1"/>
  <c r="AS67" i="219"/>
  <c r="AS68" i="219" s="1"/>
  <c r="Y67" i="219"/>
  <c r="Y68" i="219" s="1"/>
  <c r="Z67" i="219"/>
  <c r="Z68" i="219" s="1"/>
  <c r="AB67" i="219"/>
  <c r="AB68" i="219" s="1"/>
  <c r="AF67" i="219"/>
  <c r="AF68" i="219" s="1"/>
  <c r="AL67" i="219"/>
  <c r="AL68" i="219" s="1"/>
  <c r="T67" i="219"/>
  <c r="T68" i="219" s="1"/>
  <c r="V67" i="219"/>
  <c r="V68" i="219" s="1"/>
  <c r="W67" i="219"/>
  <c r="W68" i="219" s="1"/>
  <c r="X67" i="219"/>
  <c r="X68" i="219" s="1"/>
  <c r="AC67" i="219"/>
  <c r="AC68" i="219" s="1"/>
  <c r="AD67" i="219"/>
  <c r="AD68" i="219" s="1"/>
  <c r="AE67" i="219"/>
  <c r="AE68" i="219" s="1"/>
  <c r="AG67" i="219"/>
  <c r="AG68" i="219" s="1"/>
  <c r="AH67" i="219"/>
  <c r="AH68" i="219" s="1"/>
  <c r="AJ67" i="219"/>
  <c r="AJ68" i="219" s="1"/>
  <c r="AK67" i="219"/>
  <c r="AK68" i="219" s="1"/>
  <c r="AM67" i="219"/>
  <c r="AM68" i="219" s="1"/>
  <c r="AN67" i="219"/>
  <c r="AN68" i="219" s="1"/>
  <c r="AT67" i="219"/>
  <c r="AT68" i="219" s="1"/>
  <c r="AU67" i="219"/>
  <c r="AU68" i="219" s="1"/>
  <c r="K67" i="219"/>
  <c r="K68" i="219" s="1"/>
  <c r="O67" i="219"/>
  <c r="O68" i="219" s="1"/>
  <c r="Q67" i="219"/>
  <c r="Q68" i="219" s="1"/>
  <c r="G67" i="219"/>
  <c r="G68" i="219" s="1"/>
  <c r="L67" i="219"/>
  <c r="L68" i="219" s="1"/>
  <c r="N67" i="219"/>
  <c r="N68" i="219" s="1"/>
  <c r="R67" i="219"/>
  <c r="R68" i="219" s="1"/>
  <c r="S67" i="219"/>
  <c r="S68" i="219" s="1"/>
  <c r="AG100" i="219"/>
  <c r="AD100" i="219"/>
  <c r="Z100" i="219"/>
  <c r="V100" i="219"/>
  <c r="AU100" i="219"/>
  <c r="S100" i="219"/>
  <c r="AR100" i="219"/>
  <c r="P100" i="219"/>
  <c r="AO100" i="219"/>
  <c r="M100" i="219"/>
  <c r="AN100" i="219"/>
  <c r="L100" i="219"/>
  <c r="AK100" i="219"/>
  <c r="I100" i="219"/>
  <c r="AJ100" i="219"/>
  <c r="H100" i="219"/>
  <c r="AT100" i="219"/>
  <c r="AS100" i="219"/>
  <c r="AQ100" i="219"/>
  <c r="AP100" i="219"/>
  <c r="X100" i="219"/>
  <c r="W100" i="219"/>
  <c r="U100" i="219"/>
  <c r="T100" i="219"/>
  <c r="O100" i="219"/>
  <c r="J100" i="219"/>
  <c r="Q100" i="219"/>
  <c r="N100" i="219"/>
  <c r="K100" i="219"/>
  <c r="AM100" i="219"/>
  <c r="AL100" i="219"/>
  <c r="AI100" i="219"/>
  <c r="AH100" i="219"/>
  <c r="G100" i="219"/>
  <c r="AF100" i="219"/>
  <c r="AE100" i="219"/>
  <c r="AC100" i="219"/>
  <c r="AB100" i="219"/>
  <c r="AA100" i="219"/>
  <c r="Y100" i="219"/>
  <c r="R100" i="219"/>
  <c r="N30" i="219"/>
  <c r="J30" i="219"/>
  <c r="M30" i="219"/>
  <c r="L30" i="219"/>
  <c r="K30" i="219"/>
  <c r="H30" i="219"/>
  <c r="I30" i="219"/>
  <c r="T98" i="219"/>
  <c r="AR98" i="219"/>
  <c r="P98" i="219"/>
  <c r="AN98" i="219"/>
  <c r="L98" i="219"/>
  <c r="AH98" i="219"/>
  <c r="AE98" i="219"/>
  <c r="AD98" i="219"/>
  <c r="AA98" i="219"/>
  <c r="Z98" i="219"/>
  <c r="AU98" i="219"/>
  <c r="I98" i="219"/>
  <c r="AT98" i="219"/>
  <c r="H98" i="219"/>
  <c r="AS98" i="219"/>
  <c r="AQ98" i="219"/>
  <c r="AB98" i="219"/>
  <c r="Y98" i="219"/>
  <c r="X98" i="219"/>
  <c r="W98" i="219"/>
  <c r="S98" i="219"/>
  <c r="O98" i="219"/>
  <c r="N98" i="219"/>
  <c r="M98" i="219"/>
  <c r="AP98" i="219"/>
  <c r="AO98" i="219"/>
  <c r="AM98" i="219"/>
  <c r="AL98" i="219"/>
  <c r="AK98" i="219"/>
  <c r="AJ98" i="219"/>
  <c r="AI98" i="219"/>
  <c r="AG98" i="219"/>
  <c r="AF98" i="219"/>
  <c r="AC98" i="219"/>
  <c r="V98" i="219"/>
  <c r="U98" i="219"/>
  <c r="R98" i="219"/>
  <c r="Q98" i="219"/>
  <c r="K98" i="219"/>
  <c r="G98" i="219"/>
  <c r="J98" i="219"/>
  <c r="AF97" i="219"/>
  <c r="AB97" i="219"/>
  <c r="X97" i="219"/>
  <c r="AT97" i="219"/>
  <c r="R97" i="219"/>
  <c r="AQ97" i="219"/>
  <c r="O97" i="219"/>
  <c r="AP97" i="219"/>
  <c r="N97" i="219"/>
  <c r="AM97" i="219"/>
  <c r="K97" i="219"/>
  <c r="AL97" i="219"/>
  <c r="J97" i="219"/>
  <c r="H97" i="219"/>
  <c r="G97" i="219"/>
  <c r="AU97" i="219"/>
  <c r="AS97" i="219"/>
  <c r="AC97" i="219"/>
  <c r="AA97" i="219"/>
  <c r="Z97" i="219"/>
  <c r="Y97" i="219"/>
  <c r="U97" i="219"/>
  <c r="Q97" i="219"/>
  <c r="P97" i="219"/>
  <c r="M97" i="219"/>
  <c r="AI97" i="219"/>
  <c r="AH97" i="219"/>
  <c r="AG97" i="219"/>
  <c r="AE97" i="219"/>
  <c r="AD97" i="219"/>
  <c r="W97" i="219"/>
  <c r="V97" i="219"/>
  <c r="T97" i="219"/>
  <c r="S97" i="219"/>
  <c r="L97" i="219"/>
  <c r="I97" i="219"/>
  <c r="AR97" i="219"/>
  <c r="AO97" i="219"/>
  <c r="AN97" i="219"/>
  <c r="AK97" i="219"/>
  <c r="AJ97" i="219"/>
  <c r="AL45" i="219"/>
  <c r="X45" i="219"/>
  <c r="AS45" i="219"/>
  <c r="O45" i="219"/>
  <c r="AU45" i="219"/>
  <c r="P45" i="219"/>
  <c r="AN45" i="219"/>
  <c r="I45" i="219"/>
  <c r="AI45" i="219"/>
  <c r="S45" i="219"/>
  <c r="R45" i="219"/>
  <c r="Q45" i="219"/>
  <c r="N45" i="219"/>
  <c r="M45" i="219"/>
  <c r="L45" i="219"/>
  <c r="K33" i="239" s="1"/>
  <c r="AT45" i="219"/>
  <c r="K45" i="219"/>
  <c r="AR45" i="219"/>
  <c r="J45" i="219"/>
  <c r="AQ45" i="219"/>
  <c r="H45" i="219"/>
  <c r="AP45" i="219"/>
  <c r="G45" i="219"/>
  <c r="AO45" i="219"/>
  <c r="AM45" i="219"/>
  <c r="AK45" i="219"/>
  <c r="AJ45" i="219"/>
  <c r="AH45" i="219"/>
  <c r="AG45" i="219"/>
  <c r="AF45" i="219"/>
  <c r="AE45" i="219"/>
  <c r="AD45" i="219"/>
  <c r="AC45" i="219"/>
  <c r="AB45" i="219"/>
  <c r="AA45" i="219"/>
  <c r="Z45" i="219"/>
  <c r="Y45" i="219"/>
  <c r="W45" i="219"/>
  <c r="U45" i="219"/>
  <c r="T45" i="219"/>
  <c r="V45" i="219"/>
  <c r="N57" i="219"/>
  <c r="AP57" i="219"/>
  <c r="AB57" i="219"/>
  <c r="AK57" i="219"/>
  <c r="AI57" i="219"/>
  <c r="AJ57" i="219"/>
  <c r="AL57" i="219"/>
  <c r="H57" i="219"/>
  <c r="AM57" i="219"/>
  <c r="I57" i="219"/>
  <c r="AN57" i="219"/>
  <c r="L57" i="219"/>
  <c r="O57" i="219"/>
  <c r="AT57" i="219"/>
  <c r="S57" i="219"/>
  <c r="W57" i="219"/>
  <c r="Z57" i="219"/>
  <c r="AF57" i="219"/>
  <c r="M57" i="219"/>
  <c r="P57" i="219"/>
  <c r="Q57" i="219"/>
  <c r="R57" i="219"/>
  <c r="T57" i="219"/>
  <c r="U57" i="219"/>
  <c r="V57" i="219"/>
  <c r="X57" i="219"/>
  <c r="Y57" i="219"/>
  <c r="AA57" i="219"/>
  <c r="AC57" i="219"/>
  <c r="AD57" i="219"/>
  <c r="AE57" i="219"/>
  <c r="AG57" i="219"/>
  <c r="AH57" i="219"/>
  <c r="AO57" i="219"/>
  <c r="AQ57" i="219"/>
  <c r="AR57" i="219"/>
  <c r="AS57" i="219"/>
  <c r="G57" i="219"/>
  <c r="AU57" i="219"/>
  <c r="J57" i="219"/>
  <c r="K57" i="219"/>
  <c r="AU36" i="219"/>
  <c r="AI36" i="219"/>
  <c r="G36" i="219"/>
  <c r="AC36" i="219"/>
  <c r="Y36" i="219"/>
  <c r="AB36" i="219"/>
  <c r="AA36" i="219"/>
  <c r="Z36" i="219"/>
  <c r="X36" i="219"/>
  <c r="W36" i="219"/>
  <c r="V36" i="219"/>
  <c r="U36" i="219"/>
  <c r="T36" i="219"/>
  <c r="S36" i="219"/>
  <c r="R36" i="219"/>
  <c r="Q36" i="219"/>
  <c r="P36" i="219"/>
  <c r="AT36" i="219"/>
  <c r="O36" i="219"/>
  <c r="AS36" i="219"/>
  <c r="N36" i="219"/>
  <c r="AR36" i="219"/>
  <c r="M36" i="219"/>
  <c r="AQ36" i="219"/>
  <c r="L36" i="219"/>
  <c r="AP36" i="219"/>
  <c r="K36" i="219"/>
  <c r="AO36" i="219"/>
  <c r="J36" i="219"/>
  <c r="AN36" i="219"/>
  <c r="I36" i="219"/>
  <c r="AM36" i="219"/>
  <c r="H36" i="219"/>
  <c r="AL36" i="219"/>
  <c r="AK36" i="219"/>
  <c r="AJ36" i="219"/>
  <c r="AH36" i="219"/>
  <c r="AG36" i="219"/>
  <c r="AE36" i="219"/>
  <c r="AF36" i="219"/>
  <c r="AD36" i="219"/>
  <c r="R66" i="219"/>
  <c r="AT66" i="219"/>
  <c r="G66" i="219"/>
  <c r="AF66" i="219"/>
  <c r="I66" i="219"/>
  <c r="AM66" i="219"/>
  <c r="W66" i="219"/>
  <c r="AC66" i="219"/>
  <c r="AH66" i="219"/>
  <c r="K66" i="219"/>
  <c r="AP66" i="219"/>
  <c r="AG66" i="219"/>
  <c r="AI66" i="219"/>
  <c r="AJ66" i="219"/>
  <c r="AK66" i="219"/>
  <c r="AL66" i="219"/>
  <c r="AN66" i="219"/>
  <c r="AO66" i="219"/>
  <c r="AQ66" i="219"/>
  <c r="AR66" i="219"/>
  <c r="H66" i="219"/>
  <c r="AS66" i="219"/>
  <c r="J66" i="219"/>
  <c r="AU66" i="219"/>
  <c r="L66" i="219"/>
  <c r="M66" i="219"/>
  <c r="N66" i="219"/>
  <c r="O66" i="219"/>
  <c r="P66" i="219"/>
  <c r="Q66" i="219"/>
  <c r="S66" i="219"/>
  <c r="T66" i="219"/>
  <c r="U66" i="219"/>
  <c r="V66" i="219"/>
  <c r="X66" i="219"/>
  <c r="Y66" i="219"/>
  <c r="Z66" i="219"/>
  <c r="AA66" i="219"/>
  <c r="AD66" i="219"/>
  <c r="AE66" i="219"/>
  <c r="AB66" i="219"/>
  <c r="AD65" i="219"/>
  <c r="P65" i="219"/>
  <c r="AR65" i="219"/>
  <c r="S65" i="219"/>
  <c r="AF65" i="219"/>
  <c r="AL65" i="219"/>
  <c r="K65" i="219"/>
  <c r="AP65" i="219"/>
  <c r="T65" i="219"/>
  <c r="AJ65" i="219"/>
  <c r="AK65" i="219"/>
  <c r="AM65" i="219"/>
  <c r="AN65" i="219"/>
  <c r="AO65" i="219"/>
  <c r="AQ65" i="219"/>
  <c r="H65" i="219"/>
  <c r="AS65" i="219"/>
  <c r="I65" i="219"/>
  <c r="AT65" i="219"/>
  <c r="J65" i="219"/>
  <c r="AU65" i="219"/>
  <c r="L65" i="219"/>
  <c r="M65" i="219"/>
  <c r="N65" i="219"/>
  <c r="O65" i="219"/>
  <c r="Q65" i="219"/>
  <c r="R65" i="219"/>
  <c r="U65" i="219"/>
  <c r="V65" i="219"/>
  <c r="W65" i="219"/>
  <c r="G65" i="219"/>
  <c r="X65" i="219"/>
  <c r="Y65" i="219"/>
  <c r="Z65" i="219"/>
  <c r="AA65" i="219"/>
  <c r="AB65" i="219"/>
  <c r="AC65" i="219"/>
  <c r="AE65" i="219"/>
  <c r="AH65" i="219"/>
  <c r="AI65" i="219"/>
  <c r="AG65" i="219"/>
  <c r="AE69" i="219"/>
  <c r="AE88" i="219" s="1"/>
  <c r="K69" i="219"/>
  <c r="K88" i="219" s="1"/>
  <c r="Q69" i="219"/>
  <c r="Q88" i="219" s="1"/>
  <c r="AS69" i="219"/>
  <c r="AS88" i="219" s="1"/>
  <c r="T69" i="219"/>
  <c r="T88" i="219" s="1"/>
  <c r="Y69" i="219"/>
  <c r="Y88" i="219" s="1"/>
  <c r="AD69" i="219"/>
  <c r="AD88" i="219" s="1"/>
  <c r="AF69" i="219"/>
  <c r="AF88" i="219" s="1"/>
  <c r="AG69" i="219"/>
  <c r="AG88" i="219" s="1"/>
  <c r="M69" i="219"/>
  <c r="M88" i="219" s="1"/>
  <c r="AT69" i="219"/>
  <c r="AT88" i="219" s="1"/>
  <c r="N69" i="219"/>
  <c r="N88" i="219" s="1"/>
  <c r="AU69" i="219"/>
  <c r="AU88" i="219" s="1"/>
  <c r="O69" i="219"/>
  <c r="O88" i="219" s="1"/>
  <c r="U69" i="219"/>
  <c r="U88" i="219" s="1"/>
  <c r="AA69" i="219"/>
  <c r="AA88" i="219" s="1"/>
  <c r="AK69" i="219"/>
  <c r="AK88" i="219" s="1"/>
  <c r="G69" i="219"/>
  <c r="G88" i="219" s="1"/>
  <c r="AL69" i="219"/>
  <c r="AL88" i="219" s="1"/>
  <c r="AM69" i="219"/>
  <c r="AM88" i="219" s="1"/>
  <c r="AN69" i="219"/>
  <c r="AN88" i="219" s="1"/>
  <c r="AO69" i="219"/>
  <c r="AO88" i="219" s="1"/>
  <c r="AP69" i="219"/>
  <c r="AP88" i="219" s="1"/>
  <c r="AQ69" i="219"/>
  <c r="AQ88" i="219" s="1"/>
  <c r="AR69" i="219"/>
  <c r="AR88" i="219" s="1"/>
  <c r="H69" i="219"/>
  <c r="H88" i="219" s="1"/>
  <c r="I69" i="219"/>
  <c r="I88" i="219" s="1"/>
  <c r="J69" i="219"/>
  <c r="J88" i="219" s="1"/>
  <c r="L69" i="219"/>
  <c r="L88" i="219" s="1"/>
  <c r="P69" i="219"/>
  <c r="P88" i="219" s="1"/>
  <c r="R69" i="219"/>
  <c r="R88" i="219" s="1"/>
  <c r="V69" i="219"/>
  <c r="V88" i="219" s="1"/>
  <c r="W69" i="219"/>
  <c r="W88" i="219" s="1"/>
  <c r="AH69" i="219"/>
  <c r="AH88" i="219" s="1"/>
  <c r="S69" i="219"/>
  <c r="S88" i="219" s="1"/>
  <c r="X69" i="219"/>
  <c r="X88" i="219" s="1"/>
  <c r="Z69" i="219"/>
  <c r="Z88" i="219" s="1"/>
  <c r="AB69" i="219"/>
  <c r="AB88" i="219" s="1"/>
  <c r="AC69" i="219"/>
  <c r="AC88" i="219" s="1"/>
  <c r="AI69" i="219"/>
  <c r="AI88" i="219" s="1"/>
  <c r="AJ69" i="219"/>
  <c r="AJ88" i="219" s="1"/>
  <c r="N64" i="219"/>
  <c r="AP64" i="219"/>
  <c r="AB64" i="219"/>
  <c r="AC64" i="219"/>
  <c r="I64" i="219"/>
  <c r="AN64" i="219"/>
  <c r="P64" i="219"/>
  <c r="AU64" i="219"/>
  <c r="T64" i="219"/>
  <c r="AA64" i="219"/>
  <c r="AM64" i="219"/>
  <c r="AO64" i="219"/>
  <c r="AQ64" i="219"/>
  <c r="AR64" i="219"/>
  <c r="H64" i="219"/>
  <c r="AS64" i="219"/>
  <c r="J64" i="219"/>
  <c r="AT64" i="219"/>
  <c r="K64" i="219"/>
  <c r="L64" i="219"/>
  <c r="M64" i="219"/>
  <c r="O64" i="219"/>
  <c r="Q64" i="219"/>
  <c r="R64" i="219"/>
  <c r="G64" i="219"/>
  <c r="S64" i="219"/>
  <c r="U64" i="219"/>
  <c r="V64" i="219"/>
  <c r="W64" i="219"/>
  <c r="X64" i="219"/>
  <c r="Y64" i="219"/>
  <c r="Z64" i="219"/>
  <c r="AD64" i="219"/>
  <c r="AE64" i="219"/>
  <c r="AF64" i="219"/>
  <c r="AG64" i="219"/>
  <c r="AH64" i="219"/>
  <c r="AI64" i="219"/>
  <c r="AK64" i="219"/>
  <c r="AL64" i="219"/>
  <c r="AJ64" i="219"/>
  <c r="L63" i="219"/>
  <c r="H63" i="219"/>
  <c r="G63" i="219"/>
  <c r="I63" i="219"/>
  <c r="J63" i="219"/>
  <c r="K63" i="219"/>
  <c r="M63" i="219"/>
  <c r="N63" i="219"/>
  <c r="H70" i="219"/>
  <c r="M70" i="219"/>
  <c r="I70" i="219"/>
  <c r="N70" i="219"/>
  <c r="G70" i="219"/>
  <c r="J70" i="219"/>
  <c r="K70" i="219"/>
  <c r="L70" i="219"/>
  <c r="J62" i="219"/>
  <c r="AL62" i="219"/>
  <c r="X62" i="219"/>
  <c r="R62" i="219"/>
  <c r="W62" i="219"/>
  <c r="Y62" i="219"/>
  <c r="Z62" i="219"/>
  <c r="AA62" i="219"/>
  <c r="AG62" i="219"/>
  <c r="AK62" i="219"/>
  <c r="K62" i="219"/>
  <c r="AP62" i="219"/>
  <c r="N62" i="219"/>
  <c r="AS62" i="219"/>
  <c r="AM62" i="219"/>
  <c r="AN62" i="219"/>
  <c r="AO62" i="219"/>
  <c r="AQ62" i="219"/>
  <c r="AR62" i="219"/>
  <c r="AT62" i="219"/>
  <c r="AU62" i="219"/>
  <c r="H62" i="219"/>
  <c r="I62" i="219"/>
  <c r="L62" i="219"/>
  <c r="M62" i="219"/>
  <c r="O62" i="219"/>
  <c r="P62" i="219"/>
  <c r="Q62" i="219"/>
  <c r="S62" i="219"/>
  <c r="G62" i="219"/>
  <c r="T62" i="219"/>
  <c r="U62" i="219"/>
  <c r="V62" i="219"/>
  <c r="AB62" i="219"/>
  <c r="AC62" i="219"/>
  <c r="AD62" i="219"/>
  <c r="AE62" i="219"/>
  <c r="AF62" i="219"/>
  <c r="AI62" i="219"/>
  <c r="AJ62" i="219"/>
  <c r="AH62" i="219"/>
  <c r="K46" i="219"/>
  <c r="M46" i="219"/>
  <c r="L46" i="219"/>
  <c r="J46" i="219"/>
  <c r="I46" i="219"/>
  <c r="H46" i="219"/>
  <c r="G46" i="219"/>
  <c r="N46" i="219"/>
  <c r="V61" i="219"/>
  <c r="H61" i="219"/>
  <c r="AJ61" i="219"/>
  <c r="AB61" i="219"/>
  <c r="AF61" i="219"/>
  <c r="AG61" i="219"/>
  <c r="AH61" i="219"/>
  <c r="AI61" i="219"/>
  <c r="K61" i="219"/>
  <c r="AP61" i="219"/>
  <c r="O61" i="219"/>
  <c r="AT61" i="219"/>
  <c r="S61" i="219"/>
  <c r="W61" i="219"/>
  <c r="AK61" i="219"/>
  <c r="AL61" i="219"/>
  <c r="AM61" i="219"/>
  <c r="AN61" i="219"/>
  <c r="AO61" i="219"/>
  <c r="AQ61" i="219"/>
  <c r="AR61" i="219"/>
  <c r="AS61" i="219"/>
  <c r="AU61" i="219"/>
  <c r="I61" i="219"/>
  <c r="J61" i="219"/>
  <c r="L61" i="219"/>
  <c r="M61" i="219"/>
  <c r="N61" i="219"/>
  <c r="G61" i="219"/>
  <c r="P61" i="219"/>
  <c r="Q61" i="219"/>
  <c r="R61" i="219"/>
  <c r="T61" i="219"/>
  <c r="U61" i="219"/>
  <c r="X61" i="219"/>
  <c r="Y61" i="219"/>
  <c r="Z61" i="219"/>
  <c r="AA61" i="219"/>
  <c r="AD61" i="219"/>
  <c r="AE61" i="219"/>
  <c r="AC61" i="219"/>
  <c r="AJ39" i="219"/>
  <c r="H39" i="219"/>
  <c r="AB39" i="219"/>
  <c r="V39" i="219"/>
  <c r="AU39" i="219"/>
  <c r="R39" i="219"/>
  <c r="AI39" i="219"/>
  <c r="AH39" i="219"/>
  <c r="AG39" i="219"/>
  <c r="AF39" i="219"/>
  <c r="AE39" i="219"/>
  <c r="AD39" i="219"/>
  <c r="AC39" i="219"/>
  <c r="AA39" i="219"/>
  <c r="Z39" i="219"/>
  <c r="Y39" i="219"/>
  <c r="X39" i="219"/>
  <c r="W39" i="219"/>
  <c r="U39" i="219"/>
  <c r="T39" i="219"/>
  <c r="S39" i="219"/>
  <c r="Q39" i="219"/>
  <c r="P39" i="219"/>
  <c r="O39" i="219"/>
  <c r="AT39" i="219"/>
  <c r="N39" i="219"/>
  <c r="AS39" i="219"/>
  <c r="M39" i="219"/>
  <c r="AR39" i="219"/>
  <c r="L39" i="219"/>
  <c r="AQ39" i="219"/>
  <c r="K39" i="219"/>
  <c r="AP39" i="219"/>
  <c r="J39" i="219"/>
  <c r="AO39" i="219"/>
  <c r="I39" i="219"/>
  <c r="AN39" i="219"/>
  <c r="G39" i="219"/>
  <c r="AL39" i="219"/>
  <c r="AM39" i="219"/>
  <c r="AK39" i="219"/>
  <c r="F123" i="231"/>
  <c r="O70" i="237"/>
  <c r="D122" i="231"/>
  <c r="B44" i="237" s="1"/>
  <c r="F122" i="231"/>
  <c r="E122" i="231"/>
  <c r="D132" i="231"/>
  <c r="B56" i="237" s="1"/>
  <c r="D117" i="231"/>
  <c r="B37" i="237" s="1"/>
  <c r="D92" i="231"/>
  <c r="B10" i="237" s="1"/>
  <c r="E26" i="237"/>
  <c r="K14" i="239"/>
  <c r="O18" i="239"/>
  <c r="E45" i="237"/>
  <c r="D102" i="231"/>
  <c r="B20" i="237" s="1"/>
  <c r="D133" i="231"/>
  <c r="B57" i="237" s="1"/>
  <c r="E18" i="237"/>
  <c r="E31" i="237"/>
  <c r="E12" i="237"/>
  <c r="D130" i="231"/>
  <c r="B54" i="237" s="1"/>
  <c r="D107" i="231"/>
  <c r="B25" i="237" s="1"/>
  <c r="E52" i="237"/>
  <c r="E53" i="237"/>
  <c r="D129" i="231"/>
  <c r="B53" i="237" s="1"/>
  <c r="D112" i="231"/>
  <c r="B30" i="237" s="1"/>
  <c r="D114" i="231"/>
  <c r="B32" i="237" s="1"/>
  <c r="O69" i="237"/>
  <c r="I73" i="237" s="1"/>
  <c r="O68" i="237"/>
  <c r="O71" i="237"/>
  <c r="I79" i="237" s="1"/>
  <c r="D135" i="231"/>
  <c r="B59" i="237" s="1"/>
  <c r="E11" i="237"/>
  <c r="E28" i="237"/>
  <c r="E55" i="237"/>
  <c r="E29" i="237"/>
  <c r="E17" i="237"/>
  <c r="D109" i="231"/>
  <c r="B27" i="237" s="1"/>
  <c r="E51" i="237"/>
  <c r="E38" i="237"/>
  <c r="P7" i="242" l="1"/>
  <c r="K31" i="239"/>
  <c r="L31" i="239" s="1"/>
  <c r="M31" i="239" s="1"/>
  <c r="R27" i="239" s="1"/>
  <c r="L35" i="239"/>
  <c r="M35" i="239" s="1"/>
  <c r="R31" i="239" s="1"/>
  <c r="L33" i="239"/>
  <c r="M33" i="239" s="1"/>
  <c r="R29" i="239" s="1"/>
  <c r="R79" i="219"/>
  <c r="R80" i="219" s="1"/>
  <c r="R81" i="219" s="1"/>
  <c r="R90" i="219"/>
  <c r="R89" i="219"/>
  <c r="J89" i="219"/>
  <c r="J79" i="219"/>
  <c r="J80" i="219" s="1"/>
  <c r="J81" i="219" s="1"/>
  <c r="J90" i="219"/>
  <c r="N89" i="219"/>
  <c r="N79" i="219"/>
  <c r="N80" i="219" s="1"/>
  <c r="N81" i="219" s="1"/>
  <c r="N90" i="219"/>
  <c r="AQ89" i="219"/>
  <c r="AQ79" i="219"/>
  <c r="AQ80" i="219" s="1"/>
  <c r="AQ81" i="219" s="1"/>
  <c r="AQ90" i="219"/>
  <c r="S79" i="219"/>
  <c r="S80" i="219" s="1"/>
  <c r="S81" i="219" s="1"/>
  <c r="S90" i="219"/>
  <c r="S89" i="219"/>
  <c r="L89" i="219"/>
  <c r="L79" i="219"/>
  <c r="L80" i="219" s="1"/>
  <c r="L81" i="219" s="1"/>
  <c r="L90" i="219"/>
  <c r="I89" i="219"/>
  <c r="I79" i="219"/>
  <c r="I80" i="219" s="1"/>
  <c r="I81" i="219" s="1"/>
  <c r="I90" i="219"/>
  <c r="G90" i="219"/>
  <c r="G89" i="219"/>
  <c r="G79" i="219"/>
  <c r="G80" i="219" s="1"/>
  <c r="G81" i="219" s="1"/>
  <c r="AP89" i="219"/>
  <c r="AP79" i="219"/>
  <c r="AP80" i="219" s="1"/>
  <c r="AP81" i="219" s="1"/>
  <c r="AP90" i="219"/>
  <c r="Q79" i="219"/>
  <c r="Q80" i="219" s="1"/>
  <c r="Q81" i="219" s="1"/>
  <c r="Q89" i="219"/>
  <c r="Q90" i="219"/>
  <c r="H89" i="219"/>
  <c r="H79" i="219"/>
  <c r="H80" i="219" s="1"/>
  <c r="H81" i="219" s="1"/>
  <c r="H90" i="219"/>
  <c r="AS79" i="219"/>
  <c r="AS80" i="219" s="1"/>
  <c r="AS81" i="219" s="1"/>
  <c r="AS89" i="219"/>
  <c r="AS90" i="219"/>
  <c r="O89" i="219"/>
  <c r="O79" i="219"/>
  <c r="O80" i="219" s="1"/>
  <c r="O81" i="219" s="1"/>
  <c r="O90" i="219"/>
  <c r="U90" i="219"/>
  <c r="U79" i="219"/>
  <c r="U80" i="219" s="1"/>
  <c r="U81" i="219" s="1"/>
  <c r="U89" i="219"/>
  <c r="K89" i="219"/>
  <c r="K79" i="219"/>
  <c r="K80" i="219" s="1"/>
  <c r="K81" i="219" s="1"/>
  <c r="K90" i="219"/>
  <c r="AR89" i="219"/>
  <c r="AR79" i="219"/>
  <c r="AR80" i="219" s="1"/>
  <c r="AR81" i="219" s="1"/>
  <c r="AR90" i="219"/>
  <c r="AU79" i="219"/>
  <c r="AU80" i="219" s="1"/>
  <c r="AU81" i="219" s="1"/>
  <c r="AU90" i="219"/>
  <c r="AU89" i="219"/>
  <c r="P89" i="219"/>
  <c r="P79" i="219"/>
  <c r="P80" i="219" s="1"/>
  <c r="P81" i="219" s="1"/>
  <c r="P90" i="219"/>
  <c r="AT79" i="219"/>
  <c r="AT80" i="219" s="1"/>
  <c r="AT81" i="219" s="1"/>
  <c r="AT89" i="219"/>
  <c r="AT90" i="219"/>
  <c r="AO89" i="219"/>
  <c r="AO79" i="219"/>
  <c r="AO80" i="219" s="1"/>
  <c r="AO81" i="219" s="1"/>
  <c r="AO90" i="219"/>
  <c r="AN89" i="219"/>
  <c r="AN79" i="219"/>
  <c r="AN80" i="219" s="1"/>
  <c r="AN81" i="219" s="1"/>
  <c r="AN90" i="219"/>
  <c r="M89" i="219"/>
  <c r="M79" i="219"/>
  <c r="M80" i="219" s="1"/>
  <c r="M81" i="219" s="1"/>
  <c r="M90" i="219"/>
  <c r="AM89" i="219"/>
  <c r="AM79" i="219"/>
  <c r="AM80" i="219" s="1"/>
  <c r="AM81" i="219" s="1"/>
  <c r="AM90" i="219"/>
  <c r="AI89" i="219"/>
  <c r="AI79" i="219"/>
  <c r="AI80" i="219" s="1"/>
  <c r="AI81" i="219" s="1"/>
  <c r="AI90" i="219"/>
  <c r="AK89" i="219"/>
  <c r="AK79" i="219"/>
  <c r="AK80" i="219" s="1"/>
  <c r="AK81" i="219" s="1"/>
  <c r="AK90" i="219"/>
  <c r="AA90" i="219"/>
  <c r="AA89" i="219"/>
  <c r="AA79" i="219"/>
  <c r="AA80" i="219" s="1"/>
  <c r="AA81" i="219" s="1"/>
  <c r="AJ89" i="219"/>
  <c r="AJ79" i="219"/>
  <c r="AJ80" i="219" s="1"/>
  <c r="AJ81" i="219" s="1"/>
  <c r="AJ90" i="219"/>
  <c r="AH89" i="219"/>
  <c r="AH79" i="219"/>
  <c r="AH80" i="219" s="1"/>
  <c r="AH81" i="219" s="1"/>
  <c r="AH90" i="219"/>
  <c r="AG90" i="219"/>
  <c r="AG89" i="219"/>
  <c r="AG79" i="219"/>
  <c r="AG80" i="219" s="1"/>
  <c r="AG81" i="219" s="1"/>
  <c r="AE90" i="219"/>
  <c r="AE89" i="219"/>
  <c r="AE79" i="219"/>
  <c r="AE80" i="219" s="1"/>
  <c r="AE81" i="219" s="1"/>
  <c r="AD90" i="219"/>
  <c r="AD89" i="219"/>
  <c r="AD79" i="219"/>
  <c r="AD80" i="219" s="1"/>
  <c r="AD81" i="219" s="1"/>
  <c r="AC90" i="219"/>
  <c r="AC89" i="219"/>
  <c r="AC79" i="219"/>
  <c r="AC80" i="219" s="1"/>
  <c r="AC81" i="219" s="1"/>
  <c r="X90" i="219"/>
  <c r="X89" i="219"/>
  <c r="X79" i="219"/>
  <c r="X80" i="219" s="1"/>
  <c r="X81" i="219" s="1"/>
  <c r="W90" i="219"/>
  <c r="W89" i="219"/>
  <c r="W79" i="219"/>
  <c r="W80" i="219" s="1"/>
  <c r="W81" i="219" s="1"/>
  <c r="V90" i="219"/>
  <c r="V79" i="219"/>
  <c r="V80" i="219" s="1"/>
  <c r="V81" i="219" s="1"/>
  <c r="V89" i="219"/>
  <c r="T79" i="219"/>
  <c r="T80" i="219" s="1"/>
  <c r="T81" i="219" s="1"/>
  <c r="T90" i="219"/>
  <c r="T89" i="219"/>
  <c r="AL89" i="219"/>
  <c r="AL79" i="219"/>
  <c r="AL80" i="219" s="1"/>
  <c r="AL81" i="219" s="1"/>
  <c r="AL90" i="219"/>
  <c r="AF90" i="219"/>
  <c r="AF89" i="219"/>
  <c r="AF79" i="219"/>
  <c r="AF80" i="219" s="1"/>
  <c r="AF81" i="219" s="1"/>
  <c r="AB90" i="219"/>
  <c r="AB89" i="219"/>
  <c r="AB79" i="219"/>
  <c r="AB80" i="219" s="1"/>
  <c r="AB81" i="219" s="1"/>
  <c r="Z90" i="219"/>
  <c r="Z89" i="219"/>
  <c r="Z79" i="219"/>
  <c r="Z80" i="219" s="1"/>
  <c r="Z81" i="219" s="1"/>
  <c r="Y90" i="219"/>
  <c r="Y89" i="219"/>
  <c r="Y79" i="219"/>
  <c r="Y80" i="219" s="1"/>
  <c r="Y81" i="219" s="1"/>
  <c r="L30" i="239"/>
  <c r="M30" i="239" s="1"/>
  <c r="R26" i="239" s="1"/>
  <c r="L34" i="239"/>
  <c r="M34" i="239" s="1"/>
  <c r="R30" i="239" s="1"/>
  <c r="O164" i="219"/>
  <c r="O115" i="219"/>
  <c r="AE164" i="219"/>
  <c r="X115" i="219"/>
  <c r="AE115" i="219"/>
  <c r="P115" i="219"/>
  <c r="AR115" i="219"/>
  <c r="AI164" i="219"/>
  <c r="AP164" i="219"/>
  <c r="AS115" i="219"/>
  <c r="AD115" i="219"/>
  <c r="AC164" i="219"/>
  <c r="AF164" i="219"/>
  <c r="AH115" i="219"/>
  <c r="V164" i="219"/>
  <c r="AU164" i="219"/>
  <c r="AN115" i="219"/>
  <c r="AF115" i="219"/>
  <c r="AR164" i="219"/>
  <c r="AL115" i="219"/>
  <c r="Y115" i="219"/>
  <c r="AT164" i="219"/>
  <c r="P164" i="219"/>
  <c r="AU115" i="219"/>
  <c r="AJ115" i="219"/>
  <c r="Z164" i="219"/>
  <c r="U115" i="219"/>
  <c r="AG164" i="219"/>
  <c r="AQ115" i="219"/>
  <c r="AM115" i="219"/>
  <c r="U164" i="219"/>
  <c r="AS164" i="219"/>
  <c r="AA115" i="219"/>
  <c r="R164" i="219"/>
  <c r="AT115" i="219"/>
  <c r="AO164" i="219"/>
  <c r="AK115" i="219"/>
  <c r="R115" i="219"/>
  <c r="T164" i="219"/>
  <c r="AC115" i="219"/>
  <c r="W115" i="219"/>
  <c r="AI115" i="219"/>
  <c r="AK164" i="219"/>
  <c r="Q164" i="219"/>
  <c r="AA164" i="219"/>
  <c r="X164" i="219"/>
  <c r="V115" i="219"/>
  <c r="T115" i="219"/>
  <c r="AP115" i="219"/>
  <c r="AB164" i="219"/>
  <c r="Q115" i="219"/>
  <c r="AL164" i="219"/>
  <c r="AD164" i="219"/>
  <c r="W164" i="219"/>
  <c r="AB115" i="219"/>
  <c r="AN164" i="219"/>
  <c r="S164" i="219"/>
  <c r="AH164" i="219"/>
  <c r="AG115" i="219"/>
  <c r="AQ164" i="219"/>
  <c r="AO115" i="219"/>
  <c r="S115" i="219"/>
  <c r="Y164" i="219"/>
  <c r="AJ164" i="219"/>
  <c r="AM164" i="219"/>
  <c r="Z115" i="219"/>
  <c r="AT118" i="219"/>
  <c r="AQ118" i="219"/>
  <c r="R118" i="219"/>
  <c r="O118" i="219"/>
  <c r="AL118" i="219"/>
  <c r="AJ118" i="219"/>
  <c r="AJ119" i="219" s="1"/>
  <c r="AE118" i="219"/>
  <c r="Y118" i="219"/>
  <c r="AO118" i="219"/>
  <c r="AO119" i="219" s="1"/>
  <c r="AI118" i="219"/>
  <c r="AD118" i="219"/>
  <c r="AD119" i="219" s="1"/>
  <c r="X118" i="219"/>
  <c r="AF118" i="219"/>
  <c r="AG118" i="219"/>
  <c r="AH118" i="219"/>
  <c r="W118" i="219"/>
  <c r="Z121" i="219"/>
  <c r="Z122" i="219" s="1"/>
  <c r="Z124" i="219" s="1"/>
  <c r="AP121" i="219"/>
  <c r="AP122" i="219" s="1"/>
  <c r="AR131" i="219"/>
  <c r="AR132" i="219" s="1"/>
  <c r="AI163" i="219"/>
  <c r="AI162" i="219"/>
  <c r="AC145" i="219"/>
  <c r="AC60" i="219" s="1"/>
  <c r="AJ129" i="219"/>
  <c r="AJ104" i="219" s="1"/>
  <c r="AE121" i="219"/>
  <c r="AK129" i="219"/>
  <c r="AK104" i="219" s="1"/>
  <c r="AJ162" i="219"/>
  <c r="AJ163" i="219"/>
  <c r="AO121" i="219"/>
  <c r="AO122" i="219"/>
  <c r="AG163" i="219"/>
  <c r="AL121" i="219"/>
  <c r="AU129" i="219"/>
  <c r="AU104" i="219" s="1"/>
  <c r="AI135" i="219"/>
  <c r="Y145" i="219"/>
  <c r="Y60" i="219" s="1"/>
  <c r="AF133" i="219"/>
  <c r="AF54" i="219" s="1"/>
  <c r="Z162" i="219"/>
  <c r="T121" i="219"/>
  <c r="AL163" i="219"/>
  <c r="AB121" i="219"/>
  <c r="X121" i="219"/>
  <c r="T162" i="219"/>
  <c r="T163" i="219"/>
  <c r="AO162" i="219"/>
  <c r="AO163" i="219"/>
  <c r="AI129" i="219"/>
  <c r="AI104" i="219" s="1"/>
  <c r="V121" i="219"/>
  <c r="AM129" i="219"/>
  <c r="AM104" i="219" s="1"/>
  <c r="AF121" i="219"/>
  <c r="AD162" i="219"/>
  <c r="AD163" i="219"/>
  <c r="Z133" i="219"/>
  <c r="Z54" i="219" s="1"/>
  <c r="AP133" i="219"/>
  <c r="AP54" i="219" s="1"/>
  <c r="AF145" i="219"/>
  <c r="AF60" i="219" s="1"/>
  <c r="AG145" i="219"/>
  <c r="AG60" i="219" s="1"/>
  <c r="AU162" i="219"/>
  <c r="AU163" i="219"/>
  <c r="AE133" i="219"/>
  <c r="AE54" i="219" s="1"/>
  <c r="AQ163" i="219"/>
  <c r="AQ162" i="219"/>
  <c r="AL141" i="219"/>
  <c r="W162" i="219"/>
  <c r="Q163" i="219"/>
  <c r="Q162" i="219"/>
  <c r="AK163" i="219"/>
  <c r="AK162" i="219"/>
  <c r="U129" i="219"/>
  <c r="U104" i="219" s="1"/>
  <c r="Y129" i="219"/>
  <c r="Y104" i="219" s="1"/>
  <c r="AJ121" i="219"/>
  <c r="V145" i="219"/>
  <c r="V60" i="219" s="1"/>
  <c r="U131" i="219"/>
  <c r="U132" i="219" s="1"/>
  <c r="AE129" i="219"/>
  <c r="AE104" i="219" s="1"/>
  <c r="P133" i="219"/>
  <c r="P54" i="219" s="1"/>
  <c r="AQ129" i="219"/>
  <c r="AQ104" i="219" s="1"/>
  <c r="AU121" i="219"/>
  <c r="AU122" i="219"/>
  <c r="AU123" i="219" s="1"/>
  <c r="X162" i="219"/>
  <c r="X163" i="219"/>
  <c r="AB162" i="219"/>
  <c r="AB163" i="219"/>
  <c r="AS163" i="219"/>
  <c r="Y163" i="219"/>
  <c r="Y162" i="219"/>
  <c r="AL145" i="219"/>
  <c r="AL60" i="219" s="1"/>
  <c r="AU133" i="219"/>
  <c r="AU54" i="219" s="1"/>
  <c r="AB133" i="219"/>
  <c r="AB54" i="219" s="1"/>
  <c r="AI145" i="219"/>
  <c r="AI60" i="219" s="1"/>
  <c r="AD131" i="219"/>
  <c r="AD132" i="219" s="1"/>
  <c r="AO129" i="219"/>
  <c r="AO104" i="219" s="1"/>
  <c r="AG121" i="219"/>
  <c r="AG122" i="219"/>
  <c r="AR133" i="219"/>
  <c r="AR54" i="219" s="1"/>
  <c r="R121" i="219"/>
  <c r="R122" i="219"/>
  <c r="U121" i="219"/>
  <c r="AL129" i="219"/>
  <c r="AL104" i="219" s="1"/>
  <c r="AG129" i="219"/>
  <c r="AG104" i="219" s="1"/>
  <c r="X157" i="219"/>
  <c r="X141" i="219"/>
  <c r="AC133" i="219"/>
  <c r="AC54" i="219" s="1"/>
  <c r="AC131" i="219"/>
  <c r="AC132" i="219" s="1"/>
  <c r="AA121" i="219"/>
  <c r="X129" i="219"/>
  <c r="X104" i="219" s="1"/>
  <c r="P162" i="219"/>
  <c r="P163" i="219"/>
  <c r="AO145" i="219"/>
  <c r="AO60" i="219" s="1"/>
  <c r="AP141" i="219"/>
  <c r="AP157" i="219"/>
  <c r="AE145" i="219"/>
  <c r="AE60" i="219" s="1"/>
  <c r="U141" i="219"/>
  <c r="U157" i="219"/>
  <c r="AB129" i="219"/>
  <c r="AB104" i="219" s="1"/>
  <c r="AF162" i="219"/>
  <c r="AF163" i="219"/>
  <c r="Y121" i="219"/>
  <c r="Y122" i="219" s="1"/>
  <c r="Y123" i="219" s="1"/>
  <c r="AR121" i="219"/>
  <c r="AR122" i="219" s="1"/>
  <c r="AH163" i="219"/>
  <c r="AH162" i="219"/>
  <c r="W145" i="219"/>
  <c r="W60" i="219" s="1"/>
  <c r="W129" i="219"/>
  <c r="W104" i="219" s="1"/>
  <c r="X135" i="219"/>
  <c r="Q131" i="219"/>
  <c r="Q132" i="219" s="1"/>
  <c r="AK131" i="219"/>
  <c r="AK132" i="219" s="1"/>
  <c r="AA145" i="219"/>
  <c r="AA60" i="219" s="1"/>
  <c r="AI121" i="219"/>
  <c r="AI122" i="219"/>
  <c r="AQ121" i="219"/>
  <c r="AF131" i="219"/>
  <c r="AF132" i="219" s="1"/>
  <c r="AS145" i="219"/>
  <c r="AS60" i="219" s="1"/>
  <c r="V157" i="219"/>
  <c r="V141" i="219"/>
  <c r="AC123" i="219"/>
  <c r="AC121" i="219"/>
  <c r="AC122" i="219"/>
  <c r="AC124" i="219"/>
  <c r="AC162" i="219"/>
  <c r="AC163" i="219"/>
  <c r="AE162" i="219"/>
  <c r="AK141" i="219"/>
  <c r="AK157" i="219"/>
  <c r="O145" i="219"/>
  <c r="O60" i="219" s="1"/>
  <c r="AH141" i="219"/>
  <c r="AG135" i="219"/>
  <c r="AK135" i="219"/>
  <c r="AD133" i="219"/>
  <c r="AD54" i="219" s="1"/>
  <c r="P121" i="219"/>
  <c r="P122" i="219"/>
  <c r="AA131" i="219"/>
  <c r="AA132" i="219" s="1"/>
  <c r="T129" i="219"/>
  <c r="T104" i="219" s="1"/>
  <c r="S121" i="219"/>
  <c r="S122" i="219" s="1"/>
  <c r="AC135" i="219"/>
  <c r="R133" i="219"/>
  <c r="R54" i="219" s="1"/>
  <c r="P129" i="219"/>
  <c r="P104" i="219" s="1"/>
  <c r="U133" i="219"/>
  <c r="U54" i="219" s="1"/>
  <c r="O131" i="219"/>
  <c r="O132" i="219" s="1"/>
  <c r="AG141" i="219"/>
  <c r="AG157" i="219"/>
  <c r="O121" i="219"/>
  <c r="O122" i="219"/>
  <c r="AI141" i="219"/>
  <c r="V129" i="219"/>
  <c r="V104" i="219" s="1"/>
  <c r="AT121" i="219"/>
  <c r="AT122" i="219" s="1"/>
  <c r="AL133" i="219"/>
  <c r="AL54" i="219" s="1"/>
  <c r="AN129" i="219"/>
  <c r="AN104" i="219" s="1"/>
  <c r="R163" i="219"/>
  <c r="R162" i="219"/>
  <c r="AH135" i="219"/>
  <c r="AH136" i="219" s="1"/>
  <c r="AA133" i="219"/>
  <c r="AA54" i="219" s="1"/>
  <c r="AH121" i="219"/>
  <c r="AH122" i="219"/>
  <c r="AH124" i="219" s="1"/>
  <c r="AC129" i="219"/>
  <c r="AC104" i="219" s="1"/>
  <c r="AT145" i="219"/>
  <c r="AT60" i="219" s="1"/>
  <c r="AB145" i="219"/>
  <c r="AB60" i="219" s="1"/>
  <c r="AP135" i="219"/>
  <c r="W121" i="219"/>
  <c r="AT133" i="219"/>
  <c r="AT54" i="219" s="1"/>
  <c r="AD121" i="219"/>
  <c r="U163" i="219"/>
  <c r="U162" i="219"/>
  <c r="AC157" i="219"/>
  <c r="AC141" i="219"/>
  <c r="Z141" i="219"/>
  <c r="Z135" i="219"/>
  <c r="AA129" i="219"/>
  <c r="AA104" i="219" s="1"/>
  <c r="AN121" i="219"/>
  <c r="AU145" i="219"/>
  <c r="AU60" i="219" s="1"/>
  <c r="AP163" i="219"/>
  <c r="AP162" i="219"/>
  <c r="AA163" i="219"/>
  <c r="AA162" i="219"/>
  <c r="W133" i="219"/>
  <c r="W54" i="219" s="1"/>
  <c r="T133" i="219"/>
  <c r="T54" i="219" s="1"/>
  <c r="Q129" i="219"/>
  <c r="Q104" i="219" s="1"/>
  <c r="Q121" i="219"/>
  <c r="AM145" i="219"/>
  <c r="AM60" i="219" s="1"/>
  <c r="S162" i="219"/>
  <c r="AE135" i="219"/>
  <c r="AP129" i="219"/>
  <c r="AP104" i="219" s="1"/>
  <c r="AN135" i="219"/>
  <c r="AP145" i="219"/>
  <c r="AP60" i="219" s="1"/>
  <c r="T131" i="219"/>
  <c r="T132" i="219" s="1"/>
  <c r="AK121" i="219"/>
  <c r="AS135" i="219"/>
  <c r="AM121" i="219"/>
  <c r="AM122" i="219"/>
  <c r="Z145" i="219"/>
  <c r="Z60" i="219" s="1"/>
  <c r="AU135" i="219"/>
  <c r="AQ133" i="219"/>
  <c r="AQ54" i="219" s="1"/>
  <c r="S133" i="219"/>
  <c r="S54" i="219" s="1"/>
  <c r="O163" i="219"/>
  <c r="S135" i="219"/>
  <c r="AQ131" i="219"/>
  <c r="AQ132" i="219"/>
  <c r="AN162" i="219"/>
  <c r="AN163" i="219"/>
  <c r="AE141" i="219"/>
  <c r="AE157" i="219"/>
  <c r="V162" i="219"/>
  <c r="V163" i="219"/>
  <c r="AH129" i="219"/>
  <c r="AH104" i="219" s="1"/>
  <c r="U145" i="219"/>
  <c r="U60" i="219" s="1"/>
  <c r="P141" i="219"/>
  <c r="Y131" i="219"/>
  <c r="Y132" i="219" s="1"/>
  <c r="V131" i="219"/>
  <c r="V132" i="219" s="1"/>
  <c r="S145" i="219"/>
  <c r="S60" i="219" s="1"/>
  <c r="AL135" i="219"/>
  <c r="AD145" i="219"/>
  <c r="AD60" i="219" s="1"/>
  <c r="AJ133" i="219"/>
  <c r="AJ54" i="219" s="1"/>
  <c r="AH157" i="219"/>
  <c r="Z129" i="219"/>
  <c r="Z104" i="219" s="1"/>
  <c r="AF129" i="219"/>
  <c r="AF104" i="219" s="1"/>
  <c r="V135" i="219"/>
  <c r="V140" i="219" s="1"/>
  <c r="AS131" i="219"/>
  <c r="AS132" i="219" s="1"/>
  <c r="AH145" i="219"/>
  <c r="AH60" i="219" s="1"/>
  <c r="AR145" i="219"/>
  <c r="AR60" i="219" s="1"/>
  <c r="AB135" i="219"/>
  <c r="AB136" i="219" s="1"/>
  <c r="AB137" i="219" s="1"/>
  <c r="AB138" i="219" s="1"/>
  <c r="AM133" i="219"/>
  <c r="AM54" i="219" s="1"/>
  <c r="R157" i="219"/>
  <c r="AS121" i="219"/>
  <c r="AS122" i="219"/>
  <c r="AN133" i="219"/>
  <c r="AN54" i="219" s="1"/>
  <c r="AO157" i="219"/>
  <c r="AG133" i="219"/>
  <c r="AG54" i="219" s="1"/>
  <c r="Q7" i="242" l="1"/>
  <c r="S123" i="219"/>
  <c r="S51" i="219"/>
  <c r="AF119" i="219"/>
  <c r="AF53" i="219"/>
  <c r="X119" i="219"/>
  <c r="X53" i="219"/>
  <c r="AR123" i="219"/>
  <c r="AR51" i="219"/>
  <c r="V30" i="219"/>
  <c r="AT124" i="219"/>
  <c r="AT51" i="219"/>
  <c r="AT123" i="219"/>
  <c r="Y53" i="219"/>
  <c r="Y119" i="219"/>
  <c r="AP51" i="219"/>
  <c r="AP123" i="219"/>
  <c r="AP124" i="219"/>
  <c r="AS51" i="219"/>
  <c r="V118" i="219"/>
  <c r="V52" i="219"/>
  <c r="AL119" i="219"/>
  <c r="AL53" i="219"/>
  <c r="U42" i="219"/>
  <c r="U71" i="219"/>
  <c r="AH46" i="219"/>
  <c r="AE140" i="219"/>
  <c r="AE48" i="219"/>
  <c r="AC51" i="219"/>
  <c r="U43" i="219"/>
  <c r="U70" i="219"/>
  <c r="AK63" i="219"/>
  <c r="AK40" i="219"/>
  <c r="X122" i="219"/>
  <c r="X50" i="219"/>
  <c r="P118" i="219"/>
  <c r="P52" i="219"/>
  <c r="AL52" i="219"/>
  <c r="AD50" i="219"/>
  <c r="AS50" i="219"/>
  <c r="AP46" i="219"/>
  <c r="O50" i="219"/>
  <c r="AC63" i="219"/>
  <c r="AC40" i="219"/>
  <c r="AB46" i="219"/>
  <c r="AG50" i="219"/>
  <c r="AM118" i="219"/>
  <c r="AM52" i="219"/>
  <c r="AS123" i="219"/>
  <c r="AT46" i="219"/>
  <c r="AG70" i="219"/>
  <c r="AG43" i="219"/>
  <c r="AO46" i="219"/>
  <c r="U46" i="219"/>
  <c r="T63" i="219"/>
  <c r="T40" i="219"/>
  <c r="R43" i="219"/>
  <c r="R70" i="219"/>
  <c r="S40" i="219"/>
  <c r="S63" i="219"/>
  <c r="W122" i="219"/>
  <c r="W50" i="219"/>
  <c r="AC50" i="219"/>
  <c r="AB122" i="219"/>
  <c r="AB50" i="219"/>
  <c r="O52" i="219"/>
  <c r="Q63" i="219"/>
  <c r="Q40" i="219"/>
  <c r="AP50" i="219"/>
  <c r="AF52" i="219"/>
  <c r="O119" i="219"/>
  <c r="O53" i="219"/>
  <c r="O51" i="219"/>
  <c r="P46" i="219"/>
  <c r="AP43" i="219"/>
  <c r="AP70" i="219"/>
  <c r="T122" i="219"/>
  <c r="T50" i="219"/>
  <c r="R52" i="219"/>
  <c r="W40" i="219"/>
  <c r="W63" i="219"/>
  <c r="Z63" i="219"/>
  <c r="Z40" i="219"/>
  <c r="Z123" i="219"/>
  <c r="X52" i="219"/>
  <c r="R119" i="219"/>
  <c r="R53" i="219"/>
  <c r="AQ119" i="219"/>
  <c r="AQ53" i="219"/>
  <c r="AQ40" i="219"/>
  <c r="AQ63" i="219"/>
  <c r="Z50" i="219"/>
  <c r="AD53" i="219"/>
  <c r="AQ52" i="219"/>
  <c r="S46" i="219"/>
  <c r="AB49" i="219"/>
  <c r="V42" i="219"/>
  <c r="V71" i="219"/>
  <c r="T42" i="219"/>
  <c r="T71" i="219"/>
  <c r="AC48" i="219"/>
  <c r="Y40" i="219"/>
  <c r="Y63" i="219"/>
  <c r="AI48" i="219"/>
  <c r="AD52" i="219"/>
  <c r="AR118" i="219"/>
  <c r="AR52" i="219"/>
  <c r="AP136" i="219"/>
  <c r="AP48" i="219"/>
  <c r="AE42" i="219"/>
  <c r="AE71" i="219"/>
  <c r="Q46" i="219"/>
  <c r="AP71" i="219"/>
  <c r="AP42" i="219"/>
  <c r="AH51" i="219"/>
  <c r="AI119" i="219"/>
  <c r="AI53" i="219"/>
  <c r="AT119" i="219"/>
  <c r="AT53" i="219"/>
  <c r="AF63" i="219"/>
  <c r="AF40" i="219"/>
  <c r="Z51" i="219"/>
  <c r="T46" i="219"/>
  <c r="AI123" i="219"/>
  <c r="AI51" i="219"/>
  <c r="P63" i="219"/>
  <c r="P40" i="219"/>
  <c r="AL122" i="219"/>
  <c r="AL50" i="219"/>
  <c r="U118" i="219"/>
  <c r="U52" i="219"/>
  <c r="AI52" i="219"/>
  <c r="AT52" i="219"/>
  <c r="AR46" i="219"/>
  <c r="AU40" i="219"/>
  <c r="AU63" i="219"/>
  <c r="O46" i="219"/>
  <c r="W119" i="219"/>
  <c r="W53" i="219"/>
  <c r="S118" i="219"/>
  <c r="S52" i="219"/>
  <c r="AU52" i="219"/>
  <c r="AN48" i="219"/>
  <c r="AI63" i="219"/>
  <c r="AI40" i="219"/>
  <c r="AB140" i="219"/>
  <c r="AB48" i="219"/>
  <c r="AC46" i="219"/>
  <c r="AN40" i="219"/>
  <c r="AN63" i="219"/>
  <c r="S50" i="219"/>
  <c r="AQ122" i="219"/>
  <c r="AQ124" i="219" s="1"/>
  <c r="AQ50" i="219"/>
  <c r="AA63" i="219"/>
  <c r="AA40" i="219"/>
  <c r="AH50" i="219"/>
  <c r="AG71" i="219"/>
  <c r="AG42" i="219"/>
  <c r="AH123" i="219"/>
  <c r="AI50" i="219"/>
  <c r="AB63" i="219"/>
  <c r="AB40" i="219"/>
  <c r="AD71" i="219"/>
  <c r="AD42" i="219"/>
  <c r="AP40" i="219"/>
  <c r="AP63" i="219"/>
  <c r="AA122" i="219"/>
  <c r="AA50" i="219"/>
  <c r="W52" i="219"/>
  <c r="AU118" i="219"/>
  <c r="X63" i="219"/>
  <c r="X40" i="219"/>
  <c r="AO123" i="219"/>
  <c r="AO51" i="219"/>
  <c r="AC52" i="219"/>
  <c r="AO53" i="219"/>
  <c r="V136" i="219"/>
  <c r="V48" i="219"/>
  <c r="AH140" i="219"/>
  <c r="AH48" i="219"/>
  <c r="AO50" i="219"/>
  <c r="AC118" i="219"/>
  <c r="AO52" i="219"/>
  <c r="AK118" i="219"/>
  <c r="AK52" i="219"/>
  <c r="AG119" i="219"/>
  <c r="AG53" i="219"/>
  <c r="X136" i="219"/>
  <c r="X48" i="219"/>
  <c r="AU124" i="219"/>
  <c r="AU51" i="219"/>
  <c r="AS46" i="219"/>
  <c r="T118" i="219"/>
  <c r="T52" i="219"/>
  <c r="Q52" i="219"/>
  <c r="AG123" i="219"/>
  <c r="AG51" i="219"/>
  <c r="V63" i="219"/>
  <c r="V40" i="219"/>
  <c r="AE43" i="219"/>
  <c r="AE70" i="219"/>
  <c r="AH137" i="219"/>
  <c r="AH49" i="219"/>
  <c r="AK140" i="219"/>
  <c r="AK48" i="219"/>
  <c r="X43" i="219"/>
  <c r="X70" i="219"/>
  <c r="AU50" i="219"/>
  <c r="Q118" i="219"/>
  <c r="Q122" i="219"/>
  <c r="Q50" i="219"/>
  <c r="S48" i="219"/>
  <c r="P123" i="219"/>
  <c r="P51" i="219"/>
  <c r="AG48" i="219"/>
  <c r="X42" i="219"/>
  <c r="X71" i="219"/>
  <c r="AQ46" i="219"/>
  <c r="AD63" i="219"/>
  <c r="AD40" i="219"/>
  <c r="AJ63" i="219"/>
  <c r="AJ40" i="219"/>
  <c r="AP118" i="219"/>
  <c r="AP52" i="219"/>
  <c r="AH63" i="219"/>
  <c r="AH40" i="219"/>
  <c r="R63" i="219"/>
  <c r="R40" i="219"/>
  <c r="AH43" i="219"/>
  <c r="AH70" i="219"/>
  <c r="AM46" i="219"/>
  <c r="AK46" i="219"/>
  <c r="AS118" i="219"/>
  <c r="AS52" i="219"/>
  <c r="Y52" i="219"/>
  <c r="V43" i="219"/>
  <c r="V70" i="219"/>
  <c r="P50" i="219"/>
  <c r="AN122" i="219"/>
  <c r="AN124" i="219" s="1"/>
  <c r="AN50" i="219"/>
  <c r="AU48" i="219"/>
  <c r="AA46" i="219"/>
  <c r="Z136" i="219"/>
  <c r="Z48" i="219"/>
  <c r="AN46" i="219"/>
  <c r="AH71" i="219"/>
  <c r="AH42" i="219"/>
  <c r="AF122" i="219"/>
  <c r="AF50" i="219"/>
  <c r="AC42" i="219"/>
  <c r="AC71" i="219"/>
  <c r="AM51" i="219"/>
  <c r="AG46" i="219"/>
  <c r="AL48" i="219"/>
  <c r="AM50" i="219"/>
  <c r="AE46" i="219"/>
  <c r="AE122" i="219"/>
  <c r="AE50" i="219"/>
  <c r="AE52" i="219"/>
  <c r="AO63" i="219"/>
  <c r="AO40" i="219"/>
  <c r="AS48" i="219"/>
  <c r="AC70" i="219"/>
  <c r="AC43" i="219"/>
  <c r="AK71" i="219"/>
  <c r="AK42" i="219"/>
  <c r="AR50" i="219"/>
  <c r="AL46" i="219"/>
  <c r="V122" i="219"/>
  <c r="V50" i="219"/>
  <c r="AN118" i="219"/>
  <c r="AN52" i="219"/>
  <c r="AE119" i="219"/>
  <c r="AE53" i="219"/>
  <c r="AB139" i="219"/>
  <c r="AK122" i="219"/>
  <c r="AK123" i="219" s="1"/>
  <c r="AK50" i="219"/>
  <c r="U63" i="219"/>
  <c r="U40" i="219"/>
  <c r="AT50" i="219"/>
  <c r="AK70" i="219"/>
  <c r="AK43" i="219"/>
  <c r="U122" i="219"/>
  <c r="U50" i="219"/>
  <c r="AJ46" i="219"/>
  <c r="AH119" i="219"/>
  <c r="AH53" i="219"/>
  <c r="AB118" i="219"/>
  <c r="AB52" i="219"/>
  <c r="Y124" i="219"/>
  <c r="Y51" i="219"/>
  <c r="R123" i="219"/>
  <c r="R51" i="219"/>
  <c r="AH52" i="219"/>
  <c r="Z118" i="219"/>
  <c r="Z52" i="219"/>
  <c r="V46" i="219"/>
  <c r="AE63" i="219"/>
  <c r="AE40" i="219"/>
  <c r="Y50" i="219"/>
  <c r="R50" i="219"/>
  <c r="AJ122" i="219"/>
  <c r="AJ50" i="219"/>
  <c r="AI46" i="219"/>
  <c r="R46" i="219"/>
  <c r="AA118" i="219"/>
  <c r="AA52" i="219"/>
  <c r="AJ52" i="219"/>
  <c r="AO70" i="219"/>
  <c r="AO43" i="219"/>
  <c r="AS124" i="219"/>
  <c r="AI42" i="219"/>
  <c r="AI71" i="219"/>
  <c r="AD122" i="219"/>
  <c r="AD46" i="219"/>
  <c r="Y46" i="219"/>
  <c r="AG52" i="219"/>
  <c r="AJ53" i="219"/>
  <c r="AK136" i="219"/>
  <c r="X140" i="219"/>
  <c r="Z140" i="219"/>
  <c r="AU140" i="219"/>
  <c r="AU136" i="219"/>
  <c r="Q124" i="219"/>
  <c r="Q123" i="219"/>
  <c r="W124" i="219"/>
  <c r="W123" i="219"/>
  <c r="AN123" i="219"/>
  <c r="AS140" i="219"/>
  <c r="AS136" i="219"/>
  <c r="AN136" i="219"/>
  <c r="AN140" i="219"/>
  <c r="AK124" i="219"/>
  <c r="AQ135" i="219"/>
  <c r="AQ157" i="219"/>
  <c r="AT129" i="219"/>
  <c r="AT104" i="219" s="1"/>
  <c r="AT162" i="219"/>
  <c r="AT163" i="219"/>
  <c r="AO131" i="219"/>
  <c r="AO132" i="219" s="1"/>
  <c r="AO133" i="219"/>
  <c r="AO54" i="219" s="1"/>
  <c r="O135" i="219"/>
  <c r="O141" i="219"/>
  <c r="O157" i="219"/>
  <c r="AK145" i="219"/>
  <c r="AK60" i="219" s="1"/>
  <c r="Y141" i="219"/>
  <c r="Y135" i="219"/>
  <c r="AQ145" i="219"/>
  <c r="AQ60" i="219" s="1"/>
  <c r="AR163" i="219"/>
  <c r="AR162" i="219"/>
  <c r="AD141" i="219"/>
  <c r="AE163" i="219"/>
  <c r="AF157" i="219"/>
  <c r="Y157" i="219"/>
  <c r="AD157" i="219"/>
  <c r="AJ124" i="219"/>
  <c r="AJ123" i="219"/>
  <c r="Q157" i="219"/>
  <c r="Q135" i="219"/>
  <c r="Q141" i="219"/>
  <c r="AM123" i="219"/>
  <c r="AM124" i="219"/>
  <c r="S157" i="219"/>
  <c r="V133" i="219"/>
  <c r="V54" i="219" s="1"/>
  <c r="O162" i="219"/>
  <c r="S163" i="219"/>
  <c r="P124" i="219"/>
  <c r="AI140" i="219"/>
  <c r="AI136" i="219"/>
  <c r="AS141" i="219"/>
  <c r="AJ141" i="219"/>
  <c r="AJ157" i="219"/>
  <c r="AJ135" i="219"/>
  <c r="Y133" i="219"/>
  <c r="Y54" i="219" s="1"/>
  <c r="AA135" i="219"/>
  <c r="AA141" i="219"/>
  <c r="AA157" i="219"/>
  <c r="AS157" i="219"/>
  <c r="AE136" i="219"/>
  <c r="AT135" i="219"/>
  <c r="AT157" i="219"/>
  <c r="AT141" i="219"/>
  <c r="R145" i="219"/>
  <c r="R60" i="219" s="1"/>
  <c r="AL124" i="219"/>
  <c r="AL123" i="219"/>
  <c r="O129" i="219"/>
  <c r="O104" i="219" s="1"/>
  <c r="AM163" i="219"/>
  <c r="AM162" i="219"/>
  <c r="AF141" i="219"/>
  <c r="AD135" i="219"/>
  <c r="S129" i="219"/>
  <c r="S104" i="219" s="1"/>
  <c r="X145" i="219"/>
  <c r="X60" i="219" s="1"/>
  <c r="S141" i="219"/>
  <c r="AM135" i="219"/>
  <c r="AL136" i="219"/>
  <c r="AL140" i="219"/>
  <c r="U124" i="219"/>
  <c r="U123" i="219"/>
  <c r="AM131" i="219"/>
  <c r="AM132" i="219" s="1"/>
  <c r="AU157" i="219"/>
  <c r="AU141" i="219"/>
  <c r="R124" i="219"/>
  <c r="X124" i="219"/>
  <c r="X123" i="219"/>
  <c r="X133" i="219"/>
  <c r="X54" i="219" s="1"/>
  <c r="AL131" i="219"/>
  <c r="AL132" i="219" s="1"/>
  <c r="AF135" i="219"/>
  <c r="AB123" i="219"/>
  <c r="AB124" i="219"/>
  <c r="AR135" i="219"/>
  <c r="AR141" i="219"/>
  <c r="AR157" i="219"/>
  <c r="O123" i="219"/>
  <c r="O124" i="219"/>
  <c r="AC140" i="219"/>
  <c r="AC136" i="219"/>
  <c r="AL162" i="219"/>
  <c r="P157" i="219"/>
  <c r="P135" i="219"/>
  <c r="S140" i="219"/>
  <c r="S136" i="219"/>
  <c r="AG136" i="219"/>
  <c r="AG140" i="219"/>
  <c r="X131" i="219"/>
  <c r="X132" i="219" s="1"/>
  <c r="T157" i="219"/>
  <c r="T141" i="219"/>
  <c r="T135" i="219"/>
  <c r="AS133" i="219"/>
  <c r="AS54" i="219" s="1"/>
  <c r="AA124" i="219"/>
  <c r="AN145" i="219"/>
  <c r="AN60" i="219" s="1"/>
  <c r="R135" i="219"/>
  <c r="R141" i="219"/>
  <c r="AB157" i="219"/>
  <c r="AB141" i="219"/>
  <c r="S124" i="219"/>
  <c r="AB131" i="219"/>
  <c r="AB132" i="219" s="1"/>
  <c r="AN131" i="219"/>
  <c r="AN132" i="219" s="1"/>
  <c r="AN141" i="219"/>
  <c r="AN157" i="219"/>
  <c r="AM157" i="219"/>
  <c r="AG131" i="219"/>
  <c r="AG132" i="219" s="1"/>
  <c r="AJ131" i="219"/>
  <c r="AJ132" i="219" s="1"/>
  <c r="S131" i="219"/>
  <c r="S132" i="219" s="1"/>
  <c r="AM141" i="219"/>
  <c r="W157" i="219"/>
  <c r="W141" i="219"/>
  <c r="W135" i="219"/>
  <c r="AQ141" i="219"/>
  <c r="P145" i="219"/>
  <c r="P60" i="219" s="1"/>
  <c r="Z163" i="219"/>
  <c r="AK133" i="219"/>
  <c r="AK54" i="219" s="1"/>
  <c r="Q133" i="219"/>
  <c r="Q54" i="219" s="1"/>
  <c r="AS162" i="219"/>
  <c r="Z131" i="219"/>
  <c r="Z132" i="219" s="1"/>
  <c r="R131" i="219"/>
  <c r="R132" i="219" s="1"/>
  <c r="AG162" i="219"/>
  <c r="P131" i="219"/>
  <c r="P132" i="219" s="1"/>
  <c r="Q145" i="219"/>
  <c r="Q60" i="219" s="1"/>
  <c r="W163" i="219"/>
  <c r="AP140" i="219"/>
  <c r="AR129" i="219"/>
  <c r="AR104" i="219" s="1"/>
  <c r="AH133" i="219"/>
  <c r="AH54" i="219" s="1"/>
  <c r="AO124" i="219"/>
  <c r="T145" i="219"/>
  <c r="T60" i="219" s="1"/>
  <c r="AI133" i="219"/>
  <c r="AI54" i="219" s="1"/>
  <c r="AL157" i="219"/>
  <c r="AP131" i="219"/>
  <c r="AP132" i="219" s="1"/>
  <c r="AI124" i="219"/>
  <c r="AR124" i="219"/>
  <c r="AJ145" i="219"/>
  <c r="AJ60" i="219" s="1"/>
  <c r="W131" i="219"/>
  <c r="W132" i="219" s="1"/>
  <c r="U135" i="219"/>
  <c r="AS129" i="219"/>
  <c r="AS104" i="219" s="1"/>
  <c r="R129" i="219"/>
  <c r="R104" i="219" s="1"/>
  <c r="AO135" i="219"/>
  <c r="AU131" i="219"/>
  <c r="AU132" i="219" s="1"/>
  <c r="AH131" i="219"/>
  <c r="AH132" i="219" s="1"/>
  <c r="AI157" i="219"/>
  <c r="AO141" i="219"/>
  <c r="AT131" i="219"/>
  <c r="AT132" i="219" s="1"/>
  <c r="Z157" i="219"/>
  <c r="AG124" i="219"/>
  <c r="AE131" i="219"/>
  <c r="AE132" i="219" s="1"/>
  <c r="AD129" i="219"/>
  <c r="AD104" i="219" s="1"/>
  <c r="AI131" i="219"/>
  <c r="AI132" i="219" s="1"/>
  <c r="R7" i="242" l="1"/>
  <c r="W42" i="219"/>
  <c r="W71" i="219"/>
  <c r="AG137" i="219"/>
  <c r="AG49" i="219"/>
  <c r="AL137" i="219"/>
  <c r="AL49" i="219"/>
  <c r="AB119" i="219"/>
  <c r="AB53" i="219"/>
  <c r="V123" i="219"/>
  <c r="V51" i="219"/>
  <c r="V124" i="219"/>
  <c r="AM43" i="219"/>
  <c r="AM70" i="219"/>
  <c r="P71" i="219"/>
  <c r="P42" i="219"/>
  <c r="AM48" i="219"/>
  <c r="AJ48" i="219"/>
  <c r="AN71" i="219"/>
  <c r="AN42" i="219"/>
  <c r="P43" i="219"/>
  <c r="P70" i="219"/>
  <c r="AJ70" i="219"/>
  <c r="AJ43" i="219"/>
  <c r="Q51" i="219"/>
  <c r="AS30" i="219"/>
  <c r="Q119" i="219"/>
  <c r="Q53" i="219"/>
  <c r="P53" i="219"/>
  <c r="P119" i="219"/>
  <c r="AL63" i="219"/>
  <c r="AL40" i="219"/>
  <c r="AU137" i="219"/>
  <c r="AU49" i="219"/>
  <c r="AF51" i="219"/>
  <c r="AU53" i="219"/>
  <c r="AU119" i="219"/>
  <c r="AL30" i="219"/>
  <c r="X137" i="219"/>
  <c r="X49" i="219"/>
  <c r="U53" i="219"/>
  <c r="U119" i="219"/>
  <c r="AC137" i="219"/>
  <c r="AC49" i="219"/>
  <c r="Z30" i="219"/>
  <c r="X51" i="219"/>
  <c r="Y70" i="219"/>
  <c r="Y43" i="219"/>
  <c r="AN53" i="219"/>
  <c r="AN119" i="219"/>
  <c r="T51" i="219"/>
  <c r="AS71" i="219"/>
  <c r="AS42" i="219"/>
  <c r="P48" i="219"/>
  <c r="AC30" i="219"/>
  <c r="AU46" i="219"/>
  <c r="AF71" i="219"/>
  <c r="AF42" i="219"/>
  <c r="O70" i="219"/>
  <c r="O43" i="219"/>
  <c r="X30" i="219"/>
  <c r="T124" i="219"/>
  <c r="AJ51" i="219"/>
  <c r="AK137" i="219"/>
  <c r="AK49" i="219"/>
  <c r="AB30" i="219"/>
  <c r="AL51" i="219"/>
  <c r="AP137" i="219"/>
  <c r="AP49" i="219"/>
  <c r="Y48" i="219"/>
  <c r="Y42" i="219"/>
  <c r="Y71" i="219"/>
  <c r="AI30" i="219"/>
  <c r="O42" i="219"/>
  <c r="O71" i="219"/>
  <c r="AN43" i="219"/>
  <c r="AN70" i="219"/>
  <c r="AD48" i="219"/>
  <c r="AU30" i="219"/>
  <c r="AA42" i="219"/>
  <c r="AA71" i="219"/>
  <c r="S137" i="219"/>
  <c r="S49" i="219"/>
  <c r="AA119" i="219"/>
  <c r="AA53" i="219"/>
  <c r="AJ42" i="219"/>
  <c r="AJ71" i="219"/>
  <c r="AP30" i="219"/>
  <c r="Z42" i="219"/>
  <c r="Z71" i="219"/>
  <c r="AM63" i="219"/>
  <c r="AM40" i="219"/>
  <c r="AR43" i="219"/>
  <c r="AR70" i="219"/>
  <c r="O40" i="219"/>
  <c r="O63" i="219"/>
  <c r="AK30" i="219"/>
  <c r="Z70" i="219"/>
  <c r="Z43" i="219"/>
  <c r="AG63" i="219"/>
  <c r="AG40" i="219"/>
  <c r="AF123" i="219"/>
  <c r="S71" i="219"/>
  <c r="S42" i="219"/>
  <c r="Z137" i="219"/>
  <c r="Z49" i="219"/>
  <c r="AK119" i="219"/>
  <c r="AK53" i="219"/>
  <c r="AR119" i="219"/>
  <c r="AR53" i="219"/>
  <c r="U48" i="219"/>
  <c r="AG30" i="219"/>
  <c r="S30" i="219"/>
  <c r="AS53" i="219"/>
  <c r="AS119" i="219"/>
  <c r="AL43" i="219"/>
  <c r="AL70" i="219"/>
  <c r="AR40" i="219"/>
  <c r="AR63" i="219"/>
  <c r="X46" i="219"/>
  <c r="T123" i="219"/>
  <c r="AI137" i="219"/>
  <c r="AI49" i="219"/>
  <c r="U51" i="219"/>
  <c r="AA51" i="219"/>
  <c r="W46" i="219"/>
  <c r="AB42" i="219"/>
  <c r="AB71" i="219"/>
  <c r="AR71" i="219"/>
  <c r="AR42" i="219"/>
  <c r="O48" i="219"/>
  <c r="AB70" i="219"/>
  <c r="AB43" i="219"/>
  <c r="AR48" i="219"/>
  <c r="AF124" i="219"/>
  <c r="S43" i="219"/>
  <c r="S70" i="219"/>
  <c r="AP53" i="219"/>
  <c r="AP119" i="219"/>
  <c r="AM119" i="219"/>
  <c r="AM53" i="219"/>
  <c r="AQ42" i="219"/>
  <c r="AQ71" i="219"/>
  <c r="AH138" i="219"/>
  <c r="AQ123" i="219"/>
  <c r="AQ51" i="219"/>
  <c r="AC119" i="219"/>
  <c r="AC53" i="219"/>
  <c r="T119" i="219"/>
  <c r="T53" i="219"/>
  <c r="AE30" i="219"/>
  <c r="AA48" i="219"/>
  <c r="V119" i="219"/>
  <c r="V53" i="219"/>
  <c r="AF48" i="219"/>
  <c r="Q48" i="219"/>
  <c r="S119" i="219"/>
  <c r="S53" i="219"/>
  <c r="AB51" i="219"/>
  <c r="R71" i="219"/>
  <c r="R42" i="219"/>
  <c r="R48" i="219"/>
  <c r="AT43" i="219"/>
  <c r="AT70" i="219"/>
  <c r="AN51" i="219"/>
  <c r="AS137" i="219"/>
  <c r="AS49" i="219"/>
  <c r="AF43" i="219"/>
  <c r="AF70" i="219"/>
  <c r="AI70" i="219"/>
  <c r="AI43" i="219"/>
  <c r="AS40" i="219"/>
  <c r="AS63" i="219"/>
  <c r="AT40" i="219"/>
  <c r="AT63" i="219"/>
  <c r="AT42" i="219"/>
  <c r="AT71" i="219"/>
  <c r="AO48" i="219"/>
  <c r="AQ70" i="219"/>
  <c r="AQ43" i="219"/>
  <c r="AD51" i="219"/>
  <c r="AD123" i="219"/>
  <c r="AD124" i="219"/>
  <c r="Z119" i="219"/>
  <c r="Z53" i="219"/>
  <c r="AK51" i="219"/>
  <c r="AE123" i="219"/>
  <c r="AE51" i="219"/>
  <c r="AE124" i="219"/>
  <c r="AO71" i="219"/>
  <c r="AO42" i="219"/>
  <c r="AM71" i="219"/>
  <c r="AM42" i="219"/>
  <c r="AA123" i="219"/>
  <c r="Q43" i="219"/>
  <c r="Q70" i="219"/>
  <c r="AF46" i="219"/>
  <c r="AT48" i="219"/>
  <c r="Q71" i="219"/>
  <c r="Q42" i="219"/>
  <c r="AQ48" i="219"/>
  <c r="AH30" i="219"/>
  <c r="T48" i="219"/>
  <c r="AE137" i="219"/>
  <c r="AE49" i="219"/>
  <c r="Z46" i="219"/>
  <c r="AS70" i="219"/>
  <c r="AS43" i="219"/>
  <c r="W48" i="219"/>
  <c r="AU71" i="219"/>
  <c r="AU42" i="219"/>
  <c r="AL42" i="219"/>
  <c r="AL71" i="219"/>
  <c r="T43" i="219"/>
  <c r="T70" i="219"/>
  <c r="AA70" i="219"/>
  <c r="AA43" i="219"/>
  <c r="AN30" i="219"/>
  <c r="V137" i="219"/>
  <c r="V49" i="219"/>
  <c r="W51" i="219"/>
  <c r="W43" i="219"/>
  <c r="W70" i="219"/>
  <c r="AU43" i="219"/>
  <c r="AU70" i="219"/>
  <c r="AD70" i="219"/>
  <c r="AD43" i="219"/>
  <c r="AN137" i="219"/>
  <c r="AN49" i="219"/>
  <c r="AD136" i="219"/>
  <c r="AD140" i="219"/>
  <c r="AQ140" i="219"/>
  <c r="AQ136" i="219"/>
  <c r="U140" i="219"/>
  <c r="U136" i="219"/>
  <c r="AT136" i="219"/>
  <c r="AT140" i="219"/>
  <c r="T140" i="219"/>
  <c r="T136" i="219"/>
  <c r="W140" i="219"/>
  <c r="W136" i="219"/>
  <c r="O136" i="219"/>
  <c r="O140" i="219"/>
  <c r="AA136" i="219"/>
  <c r="AA140" i="219"/>
  <c r="AR136" i="219"/>
  <c r="AR140" i="219"/>
  <c r="AM140" i="219"/>
  <c r="AM136" i="219"/>
  <c r="R136" i="219"/>
  <c r="R140" i="219"/>
  <c r="AJ136" i="219"/>
  <c r="AJ140" i="219"/>
  <c r="Q140" i="219"/>
  <c r="Q136" i="219"/>
  <c r="AO136" i="219"/>
  <c r="AO140" i="219"/>
  <c r="P140" i="219"/>
  <c r="P136" i="219"/>
  <c r="AF140" i="219"/>
  <c r="AF136" i="219"/>
  <c r="Y140" i="219"/>
  <c r="Y136" i="219"/>
  <c r="S7" i="242" l="1"/>
  <c r="R30" i="219"/>
  <c r="AI138" i="219"/>
  <c r="R137" i="219"/>
  <c r="R49" i="219"/>
  <c r="X138" i="219"/>
  <c r="AM30" i="219"/>
  <c r="AR30" i="219"/>
  <c r="AR137" i="219"/>
  <c r="AR49" i="219"/>
  <c r="AA30" i="219"/>
  <c r="AJ137" i="219"/>
  <c r="AJ49" i="219"/>
  <c r="O137" i="219"/>
  <c r="O49" i="219"/>
  <c r="Q30" i="219"/>
  <c r="W30" i="219"/>
  <c r="AM137" i="219"/>
  <c r="AM49" i="219"/>
  <c r="V138" i="219"/>
  <c r="O30" i="219"/>
  <c r="W137" i="219"/>
  <c r="W49" i="219"/>
  <c r="T137" i="219"/>
  <c r="T49" i="219"/>
  <c r="T30" i="219"/>
  <c r="AU138" i="219"/>
  <c r="AP138" i="219"/>
  <c r="AS138" i="219"/>
  <c r="AT137" i="219"/>
  <c r="AT49" i="219"/>
  <c r="P137" i="219"/>
  <c r="P49" i="219"/>
  <c r="AD30" i="219"/>
  <c r="AL138" i="219"/>
  <c r="AJ30" i="219"/>
  <c r="Y30" i="219"/>
  <c r="AQ137" i="219"/>
  <c r="AQ49" i="219"/>
  <c r="AA137" i="219"/>
  <c r="AA49" i="219"/>
  <c r="AT30" i="219"/>
  <c r="Y137" i="219"/>
  <c r="Y49" i="219"/>
  <c r="U137" i="219"/>
  <c r="U49" i="219"/>
  <c r="AF137" i="219"/>
  <c r="AF49" i="219"/>
  <c r="AF30" i="219"/>
  <c r="AQ30" i="219"/>
  <c r="P30" i="219"/>
  <c r="AD137" i="219"/>
  <c r="AD49" i="219"/>
  <c r="AO30" i="219"/>
  <c r="AK138" i="219"/>
  <c r="AO137" i="219"/>
  <c r="AO49" i="219"/>
  <c r="U30" i="219"/>
  <c r="Q137" i="219"/>
  <c r="Q49" i="219"/>
  <c r="AN138" i="219"/>
  <c r="S138" i="219"/>
  <c r="AG138" i="219"/>
  <c r="Z138" i="219"/>
  <c r="AC138" i="219"/>
  <c r="AE138" i="219"/>
  <c r="AH139" i="219"/>
  <c r="T7" i="242" l="1"/>
  <c r="R138" i="219"/>
  <c r="AM138" i="219"/>
  <c r="AC139" i="219"/>
  <c r="P138" i="219"/>
  <c r="Y138" i="219"/>
  <c r="AU139" i="219"/>
  <c r="AO138" i="219"/>
  <c r="AK139" i="219"/>
  <c r="V139" i="219"/>
  <c r="AD138" i="219"/>
  <c r="AI139" i="219"/>
  <c r="AL139" i="219"/>
  <c r="AG139" i="219"/>
  <c r="AF138" i="219"/>
  <c r="AT138" i="219"/>
  <c r="O138" i="219"/>
  <c r="S139" i="219"/>
  <c r="AS139" i="219"/>
  <c r="AQ138" i="219"/>
  <c r="W138" i="219"/>
  <c r="AE139" i="219"/>
  <c r="Z139" i="219"/>
  <c r="U138" i="219"/>
  <c r="AJ138" i="219"/>
  <c r="AN139" i="219"/>
  <c r="AP139" i="219"/>
  <c r="Q138" i="219"/>
  <c r="AR138" i="219"/>
  <c r="AA138" i="219"/>
  <c r="T138" i="219"/>
  <c r="X139" i="219"/>
  <c r="U7" i="242" l="1"/>
  <c r="AR139" i="219"/>
  <c r="AD139" i="219"/>
  <c r="AF139" i="219"/>
  <c r="U139" i="219"/>
  <c r="AQ139" i="219"/>
  <c r="Y139" i="219"/>
  <c r="AO139" i="219"/>
  <c r="Q139" i="219"/>
  <c r="AJ139" i="219"/>
  <c r="W139" i="219"/>
  <c r="P139" i="219"/>
  <c r="T139" i="219"/>
  <c r="O139" i="219"/>
  <c r="AM139" i="219"/>
  <c r="AA139" i="219"/>
  <c r="AT139" i="219"/>
  <c r="R139" i="219"/>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S7" i="242" l="1"/>
  <c r="AR7" i="2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Christian Bang</author>
    <author>János Hethey</author>
  </authors>
  <commentList>
    <comment ref="G22" authorId="0" shapeId="0" xr:uid="{00000000-0006-0000-0400-000002000000}">
      <text>
        <r>
          <rPr>
            <b/>
            <sz val="9"/>
            <color indexed="81"/>
            <rFont val="Tahoma"/>
            <family val="2"/>
          </rPr>
          <t>Rikke Næraa:</t>
        </r>
        <r>
          <rPr>
            <sz val="9"/>
            <color indexed="81"/>
            <rFont val="Tahoma"/>
            <family val="2"/>
          </rPr>
          <t xml:space="preserve">
RAMSES data for 2010 ( from BF2012)
</t>
        </r>
      </text>
    </comment>
    <comment ref="G112" authorId="0" shapeId="0" xr:uid="{2B9C86B7-BD05-44C2-835F-117D7C4BFD58}">
      <text>
        <r>
          <rPr>
            <b/>
            <sz val="9"/>
            <color indexed="81"/>
            <rFont val="Tahoma"/>
            <family val="2"/>
          </rPr>
          <t>Rikke Næraa:</t>
        </r>
        <r>
          <rPr>
            <sz val="9"/>
            <color indexed="81"/>
            <rFont val="Tahoma"/>
            <family val="2"/>
          </rPr>
          <t xml:space="preserve">
RAMSES data for 2010 ( from BF2012)
</t>
        </r>
      </text>
    </comment>
    <comment ref="J227" authorId="1" shapeId="0" xr:uid="{6F757641-BD61-478C-AB08-925189631323}">
      <text>
        <r>
          <rPr>
            <b/>
            <sz val="9"/>
            <color indexed="81"/>
            <rFont val="Tahoma"/>
            <family val="2"/>
          </rPr>
          <t>Christian Bang:</t>
        </r>
        <r>
          <rPr>
            <sz val="9"/>
            <color indexed="81"/>
            <rFont val="Tahoma"/>
            <family val="2"/>
          </rPr>
          <t xml:space="preserve">
DDHA in 2013 DKK: 48.0</t>
        </r>
      </text>
    </comment>
    <comment ref="J231" authorId="1" shapeId="0" xr:uid="{D6D93638-B655-46C6-9127-D0039248B0D3}">
      <text>
        <r>
          <rPr>
            <b/>
            <sz val="9"/>
            <color indexed="81"/>
            <rFont val="Tahoma"/>
            <family val="2"/>
          </rPr>
          <t>Christian Bang:</t>
        </r>
        <r>
          <rPr>
            <sz val="9"/>
            <color indexed="81"/>
            <rFont val="Tahoma"/>
            <family val="2"/>
          </rPr>
          <t xml:space="preserve">
DDHA in 2013 DKK: 
Average - 72,
Weigted average a deal lower.</t>
        </r>
      </text>
    </comment>
    <comment ref="D234" authorId="1" shapeId="0" xr:uid="{481865E9-4667-4B3E-B478-29152FC42134}">
      <text>
        <r>
          <rPr>
            <b/>
            <sz val="9"/>
            <color indexed="81"/>
            <rFont val="Tahoma"/>
            <family val="2"/>
          </rPr>
          <t>Christian Bang:</t>
        </r>
        <r>
          <rPr>
            <sz val="9"/>
            <color indexed="81"/>
            <rFont val="Tahoma"/>
            <family val="2"/>
          </rPr>
          <t xml:space="preserve">
Has not been investigated thouroughly in this study.</t>
        </r>
      </text>
    </comment>
    <comment ref="J237" authorId="1" shapeId="0" xr:uid="{D34A7C36-7354-420C-9598-8D72B03BA11A}">
      <text>
        <r>
          <rPr>
            <b/>
            <sz val="9"/>
            <color indexed="81"/>
            <rFont val="Tahoma"/>
            <family val="2"/>
          </rPr>
          <t>Christian Bang:</t>
        </r>
        <r>
          <rPr>
            <sz val="9"/>
            <color indexed="81"/>
            <rFont val="Tahoma"/>
            <family val="2"/>
          </rPr>
          <t xml:space="preserve">
DDHA in 2013 DKK: 
41.9</t>
        </r>
      </text>
    </comment>
    <comment ref="J276" authorId="2" shapeId="0" xr:uid="{393D0269-F8E3-4B86-9671-1B4696C9C841}">
      <text>
        <r>
          <rPr>
            <b/>
            <sz val="9"/>
            <color indexed="81"/>
            <rFont val="Tahoma"/>
            <family val="2"/>
          </rPr>
          <t>János Hethey:</t>
        </r>
        <r>
          <rPr>
            <sz val="9"/>
            <color indexed="81"/>
            <rFont val="Tahoma"/>
            <family val="2"/>
          </rPr>
          <t xml:space="preserve">
Forskel jf. ENS forudsætninger
</t>
        </r>
      </text>
    </comment>
    <comment ref="K276" authorId="2" shapeId="0" xr:uid="{EE60C966-FA83-42C9-B5EE-AECEBE434DBB}">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I73" authorId="0" shapeId="0" xr:uid="{00000000-0006-0000-0800-000001000000}">
      <text>
        <r>
          <rPr>
            <b/>
            <sz val="9"/>
            <color indexed="81"/>
            <rFont val="Tahoma"/>
            <family val="2"/>
          </rPr>
          <t>Mikkel Bosack Simonsen:</t>
        </r>
        <r>
          <rPr>
            <sz val="9"/>
            <color indexed="81"/>
            <rFont val="Tahoma"/>
            <family val="2"/>
          </rPr>
          <t xml:space="preserve">
Based on preliminary test from Energinet in 2017 with proven 2 % hydrogen in gas grid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<sst xmlns="http://schemas.openxmlformats.org/spreadsheetml/2006/main" count="2649" uniqueCount="1170">
  <si>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</si>
  <si>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</si>
  <si>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</si>
  <si>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</si>
  <si>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</si>
  <si>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</si>
  <si>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</si>
  <si>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</si>
  <si>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</si>
  <si>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</si>
  <si>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</si>
  <si>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</si>
  <si>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</si>
  <si>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</si>
  <si>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</si>
  <si>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</si>
  <si>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</si>
  <si>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</si>
  <si>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</si>
  <si>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</si>
  <si>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</si>
  <si>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</si>
  <si>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</si>
  <si>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</si>
  <si>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</si>
  <si>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</si>
  <si>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</si>
  <si>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</si>
  <si>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</si>
  <si>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</si>
  <si>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</si>
  <si>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</si>
  <si>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</si>
  <si>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</si>
  <si>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</si>
  <si>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</si>
  <si>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</si>
  <si>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</si>
  <si>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</si>
  <si>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</si>
  <si>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</si>
  <si>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</si>
  <si>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</si>
  <si>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</si>
  <si>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</si>
  <si>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</si>
  <si>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</si>
  <si>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</si>
  <si>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</si>
  <si>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</si>
  <si>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</si>
  <si>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</si>
  <si>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</si>
  <si>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</si>
  <si>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</si>
  <si>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</si>
  <si>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</si>
  <si>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</si>
  <si>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</si>
  <si>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</si>
  <si>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</si>
  <si>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</si>
  <si>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</si>
  <si>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</si>
  <si>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</si>
  <si>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</si>
  <si>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COST~2015</t>
  </si>
  <si>
    <t>COST~2025</t>
  </si>
  <si>
    <t>COST~2035</t>
  </si>
  <si>
    <t>COST~2040</t>
  </si>
  <si>
    <t>COST~2045</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</si>
  <si>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</si>
  <si>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</si>
  <si>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</si>
  <si>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</si>
  <si>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</si>
  <si>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</si>
  <si>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</si>
  <si>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</si>
  <si>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</si>
  <si>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</si>
  <si>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</si>
  <si>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</si>
  <si>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</si>
  <si>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</si>
  <si>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</si>
  <si>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</si>
  <si>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</si>
  <si>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</si>
  <si>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</si>
  <si>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</si>
  <si>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</si>
  <si>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</si>
  <si>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</si>
  <si>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</si>
  <si>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</si>
  <si>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</si>
  <si>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</si>
  <si>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</si>
  <si>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</si>
  <si>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</si>
  <si>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</si>
  <si>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</si>
  <si>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</si>
  <si>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</si>
  <si>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</si>
  <si>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</si>
  <si>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</si>
  <si>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</si>
  <si>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</si>
  <si>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</si>
  <si>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</si>
  <si>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</si>
  <si>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</si>
  <si>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</si>
  <si>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</si>
  <si>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</si>
  <si>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</si>
  <si>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</si>
  <si>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</si>
  <si>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</si>
  <si>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</si>
  <si>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</si>
  <si>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</si>
  <si>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</si>
  <si>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</si>
  <si>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</si>
  <si>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</si>
  <si>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</si>
  <si>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</si>
  <si>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</si>
  <si>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</si>
  <si>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</si>
  <si>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</si>
  <si>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</si>
  <si>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</si>
  <si>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</si>
  <si>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</si>
  <si>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</si>
  <si>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</si>
  <si>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</si>
  <si>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</si>
  <si>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</si>
  <si>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</si>
  <si>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</si>
  <si>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</si>
  <si>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</si>
  <si>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</si>
  <si>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NRGI</t>
  </si>
  <si>
    <t>Region name</t>
  </si>
  <si>
    <t>Input CRD share / 2012</t>
  </si>
  <si>
    <t>Input CRD share / Base year</t>
  </si>
  <si>
    <t>EFF~2012</t>
  </si>
  <si>
    <t>EFF~2015</t>
  </si>
  <si>
    <t>Emission Coefficient (kt/PJ)</t>
  </si>
  <si>
    <t>Share~UP~2015</t>
  </si>
  <si>
    <t>Efficiency from 2015</t>
  </si>
  <si>
    <t>Input CRD share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</si>
  <si>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</si>
  <si>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</si>
  <si>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</si>
  <si>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</si>
  <si>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</si>
  <si>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</si>
  <si>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</si>
  <si>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</si>
  <si>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</si>
  <si>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</si>
  <si>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</si>
  <si>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</si>
  <si>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</si>
  <si>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</si>
  <si>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</si>
  <si>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</si>
  <si>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</si>
  <si>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</si>
  <si>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</si>
  <si>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</si>
  <si>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</si>
  <si>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</si>
  <si>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</si>
  <si>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</si>
  <si>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</si>
  <si>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</si>
  <si>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</si>
  <si>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</si>
  <si>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</si>
  <si>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</si>
  <si>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</si>
  <si>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</si>
  <si>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</si>
  <si>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</si>
  <si>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</si>
  <si>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</si>
  <si>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</si>
  <si>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</si>
  <si>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</si>
  <si>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</si>
  <si>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</si>
  <si>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</si>
  <si>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</si>
  <si>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</si>
  <si>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</si>
  <si>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</si>
  <si>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</si>
  <si>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</si>
  <si>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</si>
  <si>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</si>
  <si>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</si>
  <si>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</si>
  <si>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COST~2016</t>
  </si>
  <si>
    <t>COST~2017</t>
  </si>
  <si>
    <t>COST~2018</t>
  </si>
  <si>
    <t>COST~2019</t>
  </si>
  <si>
    <t>COST~2021</t>
  </si>
  <si>
    <t>COST~2022</t>
  </si>
  <si>
    <t>COST~2023</t>
  </si>
  <si>
    <t>COST~2024</t>
  </si>
  <si>
    <t>COST~2026</t>
  </si>
  <si>
    <t>COST~2027</t>
  </si>
  <si>
    <t>COST~2028</t>
  </si>
  <si>
    <t>COST~2029</t>
  </si>
  <si>
    <t>COST~2031</t>
  </si>
  <si>
    <t>COST~2032</t>
  </si>
  <si>
    <t>COST~2033</t>
  </si>
  <si>
    <t>COST~2034</t>
  </si>
  <si>
    <t>COST~2036</t>
  </si>
  <si>
    <t>COST~2037</t>
  </si>
  <si>
    <t>COST~2038</t>
  </si>
  <si>
    <t>COST~2039</t>
  </si>
  <si>
    <t>COST~2041</t>
  </si>
  <si>
    <t>COST~2042</t>
  </si>
  <si>
    <t>COST~2043</t>
  </si>
  <si>
    <t>COST~2044</t>
  </si>
  <si>
    <t>COST~2046</t>
  </si>
  <si>
    <t>COST~2047</t>
  </si>
  <si>
    <t>COST~2048</t>
  </si>
  <si>
    <t>COST~2049</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</si>
  <si>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</si>
  <si>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</si>
  <si>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</si>
  <si>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</si>
  <si>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</si>
  <si>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</si>
  <si>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</si>
  <si>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</si>
  <si>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</si>
  <si>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</si>
  <si>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</si>
  <si>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</si>
  <si>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</si>
  <si>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</si>
  <si>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</si>
  <si>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FT-SUPELC</t>
  </si>
  <si>
    <t xml:space="preserve">Electricity for Supply </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</si>
  <si>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</si>
  <si>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</si>
  <si>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</si>
  <si>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</si>
  <si>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</si>
  <si>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</si>
  <si>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</si>
  <si>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</si>
  <si>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</si>
  <si>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</si>
  <si>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</si>
  <si>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</si>
  <si>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</si>
  <si>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</si>
  <si>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</si>
  <si>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</si>
  <si>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</si>
  <si>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</si>
  <si>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</si>
  <si>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</si>
  <si>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</si>
  <si>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</si>
  <si>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</si>
  <si>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</si>
  <si>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</si>
  <si>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</si>
  <si>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</si>
  <si>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</si>
  <si>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</si>
  <si>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</si>
  <si>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</si>
  <si>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</si>
  <si>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</si>
  <si>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</si>
  <si>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</si>
  <si>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</si>
  <si>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</si>
  <si>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</si>
  <si>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</si>
  <si>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</si>
  <si>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Electricity SUP</t>
  </si>
  <si>
    <t>Supply sector CO2</t>
  </si>
  <si>
    <t>ACTBND~0</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</si>
  <si>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</si>
  <si>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</si>
  <si>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</si>
  <si>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</si>
  <si>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</si>
  <si>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</si>
  <si>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</si>
  <si>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</si>
  <si>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</si>
  <si>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</si>
  <si>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</si>
  <si>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</si>
  <si>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</si>
  <si>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</si>
  <si>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</si>
  <si>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</si>
  <si>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</si>
  <si>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</si>
  <si>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</si>
  <si>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</si>
  <si>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</si>
  <si>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</si>
  <si>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</si>
  <si>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 xml:space="preserve">Data source on refinary costs: </t>
  </si>
  <si>
    <t>Welfare economic prices of coal, petroleum products and natural gas</t>
  </si>
  <si>
    <t>Ea Energy Analyses, 7/3-2014</t>
  </si>
  <si>
    <t>International price</t>
  </si>
  <si>
    <t>Relative import prices, GSL=1</t>
  </si>
  <si>
    <t>Diff IEA - DK</t>
  </si>
  <si>
    <t>Mkr/PJ</t>
  </si>
  <si>
    <t>Production price</t>
  </si>
  <si>
    <t>Price</t>
  </si>
  <si>
    <t>at refinery</t>
  </si>
  <si>
    <t>Refinary margin</t>
  </si>
  <si>
    <t>Refinining cost</t>
  </si>
  <si>
    <t>Average product premium</t>
  </si>
  <si>
    <t xml:space="preserve">Price </t>
  </si>
  <si>
    <t>ex refinery</t>
  </si>
  <si>
    <t>at power plant</t>
  </si>
  <si>
    <t>Distribution cost</t>
  </si>
  <si>
    <t>Refinary margin and refining costs are used as operating costs in TIMES-DK for refineries.</t>
  </si>
  <si>
    <t>To vary the cost between outputs from the plants, the import prices are used to create the variation around the average costs.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</si>
  <si>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</si>
  <si>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</si>
  <si>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</si>
  <si>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</si>
  <si>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</si>
  <si>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</si>
  <si>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</si>
  <si>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</si>
  <si>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</si>
  <si>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</si>
  <si>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</si>
  <si>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level 2010 (PJ) DKE</t>
  </si>
  <si>
    <t>Crude level (PJ) DKE</t>
  </si>
  <si>
    <t>Crude level 2010 (PJ) DKW</t>
  </si>
  <si>
    <t>Crude level (PJ) DKW</t>
  </si>
  <si>
    <t>Crude max. Flow level from 2015 DKW</t>
  </si>
  <si>
    <t>Crude max. Flow level from 2015 DKE</t>
  </si>
  <si>
    <t>BNDACT~UP~DKE</t>
  </si>
  <si>
    <t>BNDACT~UP~2012~DKW</t>
  </si>
  <si>
    <t>BNDACT~UP~DKW</t>
  </si>
  <si>
    <t>BNDACT~UP~2012~DKE</t>
  </si>
  <si>
    <t>BNDACT~UP~2015~DKW</t>
  </si>
  <si>
    <t>BNDACT~UP~2015~DKE</t>
  </si>
  <si>
    <t>SREFDK1</t>
  </si>
  <si>
    <t>Refinery Denmark 1</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</si>
  <si>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</si>
  <si>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</si>
  <si>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</si>
  <si>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</si>
  <si>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</si>
  <si>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</si>
  <si>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</si>
  <si>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</si>
  <si>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</si>
  <si>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</si>
  <si>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</si>
  <si>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</si>
  <si>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</si>
  <si>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</si>
  <si>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MINNGA</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</si>
  <si>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</si>
  <si>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</si>
  <si>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</si>
  <si>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</si>
  <si>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</si>
  <si>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</si>
  <si>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</si>
  <si>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</si>
  <si>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</si>
  <si>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Double the price of kerosene</t>
  </si>
  <si>
    <t>Source</t>
  </si>
  <si>
    <t>Guestimate</t>
  </si>
  <si>
    <t>Double the price natural gas</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</si>
  <si>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</si>
  <si>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</si>
  <si>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</si>
  <si>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</si>
  <si>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</si>
  <si>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</si>
  <si>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</si>
  <si>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</si>
  <si>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</si>
  <si>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</si>
  <si>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</si>
  <si>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</si>
  <si>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</si>
  <si>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</si>
  <si>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</si>
  <si>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</si>
  <si>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</si>
  <si>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</si>
  <si>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</si>
  <si>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</si>
  <si>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</si>
  <si>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FT-SUPHETC</t>
  </si>
  <si>
    <t>FT-SUPHETD</t>
  </si>
  <si>
    <t>Heat for supply - district heat centralised</t>
  </si>
  <si>
    <t>Heat for supply - district heat decentralised</t>
  </si>
  <si>
    <t>SUPHETC</t>
  </si>
  <si>
    <t>SUPHETD</t>
  </si>
  <si>
    <t>Heat Cent SUP</t>
  </si>
  <si>
    <t>Heat Decent SUP</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</si>
  <si>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</si>
  <si>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</si>
  <si>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</si>
  <si>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</si>
  <si>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</si>
  <si>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</si>
  <si>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</si>
  <si>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</si>
  <si>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</si>
  <si>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</si>
  <si>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</si>
  <si>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</si>
  <si>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</si>
  <si>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</si>
  <si>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</si>
  <si>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</si>
  <si>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</si>
  <si>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</si>
  <si>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</si>
  <si>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</si>
  <si>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</si>
  <si>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</si>
  <si>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</si>
  <si>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</si>
  <si>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</si>
  <si>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</si>
  <si>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</si>
  <si>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</si>
  <si>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</si>
  <si>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</si>
  <si>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</si>
  <si>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</si>
  <si>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</si>
  <si>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</si>
  <si>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</si>
  <si>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</si>
  <si>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</si>
  <si>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</si>
  <si>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</si>
  <si>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</si>
  <si>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</si>
  <si>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</si>
  <si>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</si>
  <si>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</si>
  <si>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</si>
  <si>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</si>
  <si>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</si>
  <si>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</si>
  <si>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</si>
  <si>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</si>
  <si>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</si>
  <si>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</si>
  <si>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</si>
  <si>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</si>
  <si>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</si>
  <si>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</si>
  <si>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</si>
  <si>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</si>
  <si>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</si>
  <si>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</si>
  <si>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</si>
  <si>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</si>
  <si>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</si>
  <si>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</si>
  <si>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</si>
  <si>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</si>
  <si>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</si>
  <si>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</si>
  <si>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</si>
  <si>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</si>
  <si>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</si>
  <si>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</si>
  <si>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</si>
  <si>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</si>
  <si>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</si>
  <si>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</si>
  <si>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</si>
  <si>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</si>
  <si>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</si>
  <si>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</si>
  <si>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</si>
  <si>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</si>
  <si>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</si>
  <si>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</si>
  <si>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</si>
  <si>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</si>
  <si>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</si>
  <si>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</si>
  <si>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</si>
  <si>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</si>
  <si>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</si>
  <si>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</si>
  <si>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</si>
  <si>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</si>
  <si>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</si>
  <si>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</si>
  <si>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</si>
  <si>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</si>
  <si>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</si>
  <si>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</si>
  <si>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</si>
  <si>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</si>
  <si>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</si>
  <si>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</si>
  <si>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</si>
  <si>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</si>
  <si>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</si>
  <si>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</si>
  <si>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</si>
  <si>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</si>
  <si>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</si>
  <si>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</si>
  <si>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</si>
  <si>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</si>
  <si>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</si>
  <si>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</si>
  <si>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</si>
  <si>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</si>
  <si>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</si>
  <si>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</si>
  <si>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</si>
  <si>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</si>
  <si>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</si>
  <si>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</si>
  <si>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</si>
  <si>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</si>
  <si>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</si>
  <si>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</si>
  <si>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</si>
  <si>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</si>
  <si>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</si>
  <si>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</si>
  <si>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</si>
  <si>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</si>
  <si>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</si>
  <si>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</si>
  <si>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</si>
  <si>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</si>
  <si>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</si>
  <si>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</si>
  <si>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</si>
  <si>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</si>
  <si>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</si>
  <si>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</si>
  <si>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</si>
  <si>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</si>
  <si>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</si>
  <si>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</si>
  <si>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</si>
  <si>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</si>
  <si>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</si>
  <si>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</si>
  <si>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</si>
  <si>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</si>
  <si>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</si>
  <si>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</si>
  <si>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</si>
  <si>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</si>
  <si>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</si>
  <si>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</si>
  <si>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</si>
  <si>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</si>
  <si>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</si>
  <si>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</si>
  <si>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</si>
  <si>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</si>
  <si>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</si>
  <si>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</si>
  <si>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</si>
  <si>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</si>
  <si>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</si>
  <si>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</si>
  <si>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</si>
  <si>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</si>
  <si>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</si>
  <si>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</si>
  <si>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</si>
  <si>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</si>
  <si>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</si>
  <si>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</si>
  <si>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</si>
  <si>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</si>
  <si>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</si>
  <si>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</si>
  <si>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</si>
  <si>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</si>
  <si>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</si>
  <si>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</si>
  <si>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</si>
  <si>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</si>
  <si>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</si>
  <si>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</si>
  <si>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</si>
  <si>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</si>
  <si>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</si>
  <si>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</si>
  <si>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</si>
  <si>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</si>
  <si>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</si>
  <si>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</si>
  <si>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</si>
  <si>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</si>
  <si>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</si>
  <si>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</si>
  <si>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</si>
  <si>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</si>
  <si>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</si>
  <si>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</si>
  <si>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</si>
  <si>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</si>
  <si>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</si>
  <si>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</si>
  <si>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</si>
  <si>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</si>
  <si>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</si>
  <si>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</si>
  <si>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</si>
  <si>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</si>
  <si>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</si>
  <si>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</si>
  <si>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</si>
  <si>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</si>
  <si>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</si>
  <si>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</si>
  <si>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</si>
  <si>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</si>
  <si>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</si>
  <si>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</si>
  <si>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</si>
  <si>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</si>
  <si>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</si>
  <si>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</si>
  <si>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</si>
  <si>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</si>
  <si>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</si>
  <si>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</si>
  <si>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</si>
  <si>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</si>
  <si>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</si>
  <si>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</si>
  <si>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</si>
  <si>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</si>
  <si>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</si>
  <si>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</si>
  <si>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</si>
  <si>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</si>
  <si>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</si>
  <si>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</si>
  <si>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</si>
  <si>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</si>
  <si>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</si>
  <si>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</si>
  <si>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Costs 2013DKK</t>
  </si>
  <si>
    <t>Refinery Margin</t>
  </si>
  <si>
    <t>Refining cost</t>
  </si>
  <si>
    <t>Product premium</t>
  </si>
  <si>
    <t>Total flow cost</t>
  </si>
  <si>
    <t>Link:</t>
  </si>
  <si>
    <t>http://www.ens.dk/info/tal-kort/fremskrivninger-analyser-modeller/samfundsokonomiske-beregnings-forudsaetninger</t>
  </si>
  <si>
    <t>Source: '</t>
  </si>
  <si>
    <t>DKK 2013 / GJ</t>
  </si>
  <si>
    <t>*FLO_COST</t>
  </si>
  <si>
    <t>Welfare economic prices of coal, petroleum products and natural gas, EA Energianalyse 2014, p. 27</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</si>
  <si>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</si>
  <si>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</si>
  <si>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</si>
  <si>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</si>
  <si>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</si>
  <si>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To be deleted -&gt;</t>
  </si>
  <si>
    <t>Adjusted flow cost information on refineries based on product premiums from EA energy analyse rapport…</t>
  </si>
  <si>
    <t>CRD and NGA extraction from the North Sea is set equal to zero</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</si>
  <si>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</si>
  <si>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</si>
  <si>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</si>
  <si>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</si>
  <si>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</si>
  <si>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</si>
  <si>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</si>
  <si>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</si>
  <si>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</si>
  <si>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</si>
  <si>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</si>
  <si>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</si>
  <si>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</si>
  <si>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</si>
  <si>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</si>
  <si>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</si>
  <si>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</si>
  <si>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</si>
  <si>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</si>
  <si>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</si>
  <si>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</si>
  <si>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</si>
  <si>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</si>
  <si>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</si>
  <si>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</si>
  <si>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</si>
  <si>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</si>
  <si>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</si>
  <si>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</si>
  <si>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</si>
  <si>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</si>
  <si>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</si>
  <si>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</si>
  <si>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</si>
  <si>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</si>
  <si>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</si>
  <si>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</si>
  <si>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</si>
  <si>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</si>
  <si>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</si>
  <si>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</si>
  <si>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</si>
  <si>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</si>
  <si>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</si>
  <si>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</si>
  <si>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</si>
  <si>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</si>
  <si>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</si>
  <si>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</si>
  <si>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</si>
  <si>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</si>
  <si>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</si>
  <si>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</si>
  <si>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</si>
  <si>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</si>
  <si>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</si>
  <si>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</si>
  <si>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</si>
  <si>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</si>
  <si>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</si>
  <si>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</si>
  <si>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</si>
  <si>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</si>
  <si>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</si>
  <si>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</si>
  <si>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</si>
  <si>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</si>
  <si>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</si>
  <si>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</si>
  <si>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</si>
  <si>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</si>
  <si>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</si>
  <si>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</si>
  <si>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</si>
  <si>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IMPWAV</t>
  </si>
  <si>
    <t>Import technology - Wave</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</si>
  <si>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</si>
  <si>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</si>
  <si>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</si>
  <si>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</si>
  <si>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</si>
  <si>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</si>
  <si>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</si>
  <si>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</si>
  <si>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</si>
  <si>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</si>
  <si>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</si>
  <si>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</si>
  <si>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</si>
  <si>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</si>
  <si>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</si>
  <si>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</si>
  <si>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Import technology - Aviation gasoline</t>
  </si>
  <si>
    <t>Jacopo tattini</t>
  </si>
  <si>
    <t>Com, Proc, Min-Imp-Exp</t>
  </si>
  <si>
    <t>Merged with Giada and with Jacopo</t>
  </si>
  <si>
    <t>AGSL</t>
  </si>
  <si>
    <t>MOV</t>
  </si>
  <si>
    <t>Movement - Dummy commodity for bike and walk</t>
  </si>
  <si>
    <t>IMPMOV</t>
  </si>
  <si>
    <t>Import technology - Movement for bike and walk</t>
  </si>
  <si>
    <t>IMPAGSL</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</si>
  <si>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</si>
  <si>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</si>
  <si>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</si>
  <si>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</si>
  <si>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</si>
  <si>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</si>
  <si>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</si>
  <si>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</si>
  <si>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</si>
  <si>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</si>
  <si>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</si>
  <si>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</si>
  <si>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</si>
  <si>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~COMEMI</t>
  </si>
  <si>
    <t>SUPCO2W</t>
  </si>
  <si>
    <t>Waste CO2 emissions SUP</t>
  </si>
  <si>
    <t>ACTBND~DKE</t>
  </si>
  <si>
    <t>ACTBND~DKW</t>
  </si>
  <si>
    <t>ACTBND~2011~DKE</t>
  </si>
  <si>
    <t>ACTBND~2011~DKW</t>
  </si>
  <si>
    <t>ACTBND~2012~DKE</t>
  </si>
  <si>
    <t>ACTBND~2012~DKW</t>
  </si>
  <si>
    <t>ACTBND~2015~DKE</t>
  </si>
  <si>
    <t>ACTBND~2015~DKW</t>
  </si>
  <si>
    <t>Population shares (Statistic Denmark, 2017)</t>
  </si>
  <si>
    <t>DKE</t>
  </si>
  <si>
    <t>DKW</t>
  </si>
  <si>
    <t>Mikkel Bosack Simonsen</t>
  </si>
  <si>
    <t xml:space="preserve">Applied regional actbnd on fossil fuels, applied from Giada´s Straw analysis </t>
  </si>
  <si>
    <t>FIW</t>
  </si>
  <si>
    <t>Firewood</t>
  </si>
  <si>
    <t>Share~LO~0</t>
  </si>
  <si>
    <t>Share~UP~0</t>
  </si>
  <si>
    <t>HETCP</t>
  </si>
  <si>
    <t>HETDP</t>
  </si>
  <si>
    <t>Corrected loss from DH to be included in the subres file for DH pipes</t>
  </si>
  <si>
    <t>Mikkle Bosack Simosnen</t>
  </si>
  <si>
    <t>MINMNR</t>
  </si>
  <si>
    <t>Mining technology - Manure</t>
  </si>
  <si>
    <t>SUPNGA</t>
  </si>
  <si>
    <t>SUPCOA</t>
  </si>
  <si>
    <t>SUPDSL</t>
  </si>
  <si>
    <t>SUPHFO</t>
  </si>
  <si>
    <t>SUPLPG</t>
  </si>
  <si>
    <t>SUPWST</t>
  </si>
  <si>
    <t>Biogas exportet at the same cost as natural gas, as it is shipped as a mix in the natural gas grid</t>
  </si>
  <si>
    <t>Import technology Biomass</t>
  </si>
  <si>
    <t>105 % price on import of sustainable biomass</t>
  </si>
  <si>
    <t>Deep Litter</t>
  </si>
  <si>
    <t>DLI</t>
  </si>
  <si>
    <t>SUPDLI</t>
  </si>
  <si>
    <t>Supply Deep litter</t>
  </si>
  <si>
    <t>GRS</t>
  </si>
  <si>
    <t>Grass</t>
  </si>
  <si>
    <t>SUPGRS</t>
  </si>
  <si>
    <t>Supply Grass</t>
  </si>
  <si>
    <t>MCRD</t>
  </si>
  <si>
    <t>Mining Crude Oil</t>
  </si>
  <si>
    <t>MNGA</t>
  </si>
  <si>
    <t>Mining Natural Gas</t>
  </si>
  <si>
    <t>FT-MINCRD</t>
  </si>
  <si>
    <t>FT-MINNGA</t>
  </si>
  <si>
    <t>MINCO2</t>
  </si>
  <si>
    <t>Mining CO2 emissions</t>
  </si>
  <si>
    <t>CO2SINK</t>
  </si>
  <si>
    <t>CO2 sink - non useable for fuels</t>
  </si>
  <si>
    <t>SUPMNR</t>
  </si>
  <si>
    <t>Natural gas extraction</t>
  </si>
  <si>
    <t>Crude oil extraction</t>
  </si>
  <si>
    <t>Manure management</t>
  </si>
  <si>
    <t>kg Co2e /t gylle</t>
  </si>
  <si>
    <t>https://ens.dk/ansvarsomraader/bioenergi/biogassens-klimaregnskab</t>
  </si>
  <si>
    <t>DAYNITE</t>
  </si>
  <si>
    <t>CCXCO2</t>
  </si>
  <si>
    <t>CO2 captured at plants</t>
  </si>
  <si>
    <t>H2</t>
  </si>
  <si>
    <t>Hydrogen</t>
  </si>
  <si>
    <t>MGO</t>
  </si>
  <si>
    <t>Marine Gas Oil</t>
  </si>
  <si>
    <t>AMM</t>
  </si>
  <si>
    <t>Ammonia (liquid)</t>
  </si>
  <si>
    <t>LIFE</t>
  </si>
  <si>
    <t>Share~LO</t>
  </si>
  <si>
    <t>Share~UP</t>
  </si>
  <si>
    <t>Start</t>
  </si>
  <si>
    <t>FT-GASBL1</t>
  </si>
  <si>
    <t>FT-GASBL2</t>
  </si>
  <si>
    <t>FT-GASBL3</t>
  </si>
  <si>
    <t>GAS</t>
  </si>
  <si>
    <t>Gas from national gas grid</t>
  </si>
  <si>
    <t>Up to 17 % (volumen) hydrogen injection to gas grids</t>
  </si>
  <si>
    <t>https://www.sciencedirect.com/science/article/pii/S0360319915005418</t>
  </si>
  <si>
    <t>12 % tested, with potential for 15 %</t>
  </si>
  <si>
    <t>https://energinet.dk/Om-nyheder/Nyheder/2019/05/21/Det-danske-gassystem-kan-lagre-vindenergi</t>
  </si>
  <si>
    <t>MJ/L</t>
  </si>
  <si>
    <t>By volumen</t>
  </si>
  <si>
    <t>By energy</t>
  </si>
  <si>
    <t>MJ/L mix</t>
  </si>
  <si>
    <t>Calculations for mixing hydrogen into the gas grid</t>
  </si>
  <si>
    <t>Assuming maximum potential of 15 % is feasible within Denmark according to Energinet.dk testing</t>
  </si>
  <si>
    <t>mio t Oil</t>
  </si>
  <si>
    <t>H2G</t>
  </si>
  <si>
    <t>Hydrogen Gas</t>
  </si>
  <si>
    <t>Adjusted Bio kerosene to have same price development as bio ethanoel</t>
  </si>
  <si>
    <t>SUPMOB</t>
  </si>
  <si>
    <t>KRE</t>
  </si>
  <si>
    <t>Electro Kerosene</t>
  </si>
  <si>
    <t>GSE</t>
  </si>
  <si>
    <t>Electro Gasoline</t>
  </si>
  <si>
    <t>Electro Diesel</t>
  </si>
  <si>
    <t>DSE</t>
  </si>
  <si>
    <t>SNE</t>
  </si>
  <si>
    <t>Electro Synt. Nat. Gas</t>
  </si>
  <si>
    <t>MOE</t>
  </si>
  <si>
    <t>Electro Methanol</t>
  </si>
  <si>
    <t>HFB</t>
  </si>
  <si>
    <t>Heavy Fuel Bio Oil</t>
  </si>
  <si>
    <t>Supply RE Methanol</t>
  </si>
  <si>
    <t>SUPGSB</t>
  </si>
  <si>
    <t>Supply RE ethanol</t>
  </si>
  <si>
    <t>kg</t>
  </si>
  <si>
    <t>SUPNOx</t>
  </si>
  <si>
    <t>SUPPM</t>
  </si>
  <si>
    <t>NOx Emissions Supply</t>
  </si>
  <si>
    <t>Particle emissions Supply</t>
  </si>
  <si>
    <t>SO2 emissions Supply</t>
  </si>
  <si>
    <t>SUPSO2</t>
  </si>
  <si>
    <t>ELC</t>
  </si>
  <si>
    <t>FT-CO2CCX</t>
  </si>
  <si>
    <t>CO2BIOE</t>
  </si>
  <si>
    <t>CO2BIOI</t>
  </si>
  <si>
    <t>CO2FOSE</t>
  </si>
  <si>
    <t>CO2FOSI</t>
  </si>
  <si>
    <t>ELC Biogenic captured CO2</t>
  </si>
  <si>
    <t>ELC Fossil captured CO2</t>
  </si>
  <si>
    <t>IND Biogenic captured CO2</t>
  </si>
  <si>
    <t>IND Fossil captured CO2</t>
  </si>
  <si>
    <t>FT technology sector specific CO2 to CCXCO2</t>
  </si>
  <si>
    <t>H2GD</t>
  </si>
  <si>
    <t>H2GC</t>
  </si>
  <si>
    <t>Hydrogen production centralized</t>
  </si>
  <si>
    <t>Hydrogen production Decentralized</t>
  </si>
  <si>
    <t>BGACO2</t>
  </si>
  <si>
    <t>Biogas CO2 captured</t>
  </si>
  <si>
    <t>PTLCO2</t>
  </si>
  <si>
    <t>CO2 captured Dummy input for internal DAC facilities</t>
  </si>
  <si>
    <t>SUPSNG</t>
  </si>
  <si>
    <t>Supply RE Synthetic natural gas</t>
  </si>
  <si>
    <t>CO2NSINK</t>
  </si>
  <si>
    <t>CO2 sink - Negaive - non useable for fuels</t>
  </si>
  <si>
    <t>Danish national inventory 2020 version, based on 2018 values projected forward and backwards</t>
  </si>
  <si>
    <t>TABLE 1.A(a)  SECTORAL BACKGROUND DATA  FOR  ENERGY</t>
  </si>
  <si>
    <t>Inventory 2018</t>
  </si>
  <si>
    <t>Fuel combustion activities - sectoral approach</t>
  </si>
  <si>
    <t>Submission 2020 v5</t>
  </si>
  <si>
    <t>(Sheet 1 of 4)</t>
  </si>
  <si>
    <t>DENMARK</t>
  </si>
  <si>
    <t>GREENHOUSE GAS SOURCE AND SINK CATEGORIES</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</si>
  <si>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</si>
  <si>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</si>
  <si>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</si>
  <si>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</si>
  <si>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</si>
  <si>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</si>
  <si>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</si>
  <si>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</si>
  <si>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CO</t>
    </r>
    <r>
      <rPr>
        <b/>
        <vertAlign val="subscript"/>
        <sz val="9"/>
        <rFont val="Times New Roman"/>
        <family val="1"/>
      </rPr>
      <t>2</t>
    </r>
  </si>
  <si>
    <t>Amount captured</t>
  </si>
  <si>
    <t>(TJ)</t>
  </si>
  <si>
    <r>
      <t>NCV/GCV</t>
    </r>
    <r>
      <rPr>
        <b/>
        <vertAlign val="superscript"/>
        <sz val="9"/>
        <rFont val="Times New Roman"/>
        <family val="1"/>
      </rPr>
      <t>(3)</t>
    </r>
  </si>
  <si>
    <t>(t/TJ)</t>
  </si>
  <si>
    <t>(kg/TJ)</t>
  </si>
  <si>
    <t>(kt)</t>
  </si>
  <si>
    <t>1.A. Fuel combustion</t>
  </si>
  <si>
    <t>NCV</t>
  </si>
  <si>
    <t/>
  </si>
  <si>
    <t>NO</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</si>
  <si>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</si>
  <si>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</si>
  <si>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</si>
  <si>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</si>
  <si>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</si>
  <si>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</si>
  <si>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</si>
  <si>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</si>
  <si>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b.  Petroleum refining</t>
  </si>
  <si>
    <r>
      <t>c.  Manufacture of solid fuels and other energy industries</t>
    </r>
    <r>
      <rPr>
        <vertAlign val="superscript"/>
        <sz val="9"/>
        <rFont val="Times New Roman"/>
        <family val="1"/>
      </rPr>
      <t>(8)</t>
    </r>
  </si>
  <si>
    <t>1.A.1.c.ii  Oil and gas extraction</t>
  </si>
  <si>
    <t>Liquid Fuels</t>
  </si>
  <si>
    <t>Solid Fuels</t>
  </si>
  <si>
    <t>Gaseous Fuels</t>
  </si>
  <si>
    <t>Other Fossil Fuels</t>
  </si>
  <si>
    <t>Peat</t>
  </si>
  <si>
    <t>Biomass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</si>
  <si>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</si>
  <si>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</si>
  <si>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SUPCRD</t>
  </si>
  <si>
    <t>Energibalance 2018</t>
  </si>
  <si>
    <t>Energy balance 2018</t>
  </si>
  <si>
    <t>I alt</t>
  </si>
  <si>
    <t>Råolie og halvfabrikata</t>
  </si>
  <si>
    <t>Olieprodukter</t>
  </si>
  <si>
    <t>Kul og koks</t>
  </si>
  <si>
    <t>Affald, ikke-bionedbrydeligt</t>
  </si>
  <si>
    <t>Vedvarende energi</t>
  </si>
  <si>
    <t>El</t>
  </si>
  <si>
    <t>Bygas</t>
  </si>
  <si>
    <t>Total</t>
  </si>
  <si>
    <t>Crude oil and refinery feedstocks</t>
  </si>
  <si>
    <t>Oil products</t>
  </si>
  <si>
    <t>Coal and coke</t>
  </si>
  <si>
    <t xml:space="preserve">Waste, non renewable </t>
  </si>
  <si>
    <t>Renewable energy</t>
  </si>
  <si>
    <t xml:space="preserve">District heating </t>
  </si>
  <si>
    <t>Gas works gas</t>
  </si>
  <si>
    <t>Direkte energiindhold [TJ]</t>
  </si>
  <si>
    <t xml:space="preserve">Direct energy contents [TJ] </t>
  </si>
  <si>
    <t>Energiforbrug i alt</t>
  </si>
  <si>
    <t>Total energy consumption</t>
  </si>
  <si>
    <t>-  Primær produktion</t>
  </si>
  <si>
    <t>- Primary energy production</t>
  </si>
  <si>
    <t>-  Genbrug</t>
  </si>
  <si>
    <t xml:space="preserve">- Recycling </t>
  </si>
  <si>
    <t>-  Import</t>
  </si>
  <si>
    <t>- Imports</t>
  </si>
  <si>
    <t>-  Eksport</t>
  </si>
  <si>
    <t>- Exports</t>
  </si>
  <si>
    <t>-  Grænsehandel</t>
  </si>
  <si>
    <t>- Border trade</t>
  </si>
  <si>
    <t>-  Udenrigsbunkring</t>
  </si>
  <si>
    <t>- International marine bunkers</t>
  </si>
  <si>
    <t>-  Lagertræk</t>
  </si>
  <si>
    <t>- Stock changes</t>
  </si>
  <si>
    <t>-  Statistisk difference, tilgang ved blanding</t>
  </si>
  <si>
    <t>- Statistical differences</t>
  </si>
  <si>
    <t>Energisektor</t>
  </si>
  <si>
    <t>Energy sector</t>
  </si>
  <si>
    <t>-  Udvinding og forgasning</t>
  </si>
  <si>
    <t>- Extraction and gasification</t>
  </si>
  <si>
    <t>-  Raffinaderiproduktion</t>
  </si>
  <si>
    <t>- Petroleum products</t>
  </si>
  <si>
    <t>-  Forbrug ved raffinaderiprod.</t>
  </si>
  <si>
    <t>- Used in refineries</t>
  </si>
  <si>
    <t>-  Forbrug ved distribution</t>
  </si>
  <si>
    <t>- Used in distribution</t>
  </si>
  <si>
    <t>Konverteringssektor</t>
  </si>
  <si>
    <t>Transformation</t>
  </si>
  <si>
    <t>-  Centrale anlæg</t>
  </si>
  <si>
    <t>- Large-scale units</t>
  </si>
  <si>
    <t>-  Vindmøller og vandkraftsanlæg</t>
  </si>
  <si>
    <t>- Wind turbines and hydro power plants</t>
  </si>
  <si>
    <t>-  Decentrale anlæg</t>
  </si>
  <si>
    <t>- Small-scale units</t>
  </si>
  <si>
    <t>-  Fjernvarmeanlæg</t>
  </si>
  <si>
    <t>- District heating units</t>
  </si>
  <si>
    <t>-  Sekundære producenter</t>
  </si>
  <si>
    <t>- Autoproducers</t>
  </si>
  <si>
    <t>-  Bygasværker</t>
  </si>
  <si>
    <t>- Gas works</t>
  </si>
  <si>
    <t>-  Egetforbrug ved produktion</t>
  </si>
  <si>
    <t>- Own use</t>
  </si>
  <si>
    <t>Distributionstab m.m.</t>
  </si>
  <si>
    <t>Distribution losses etc.</t>
  </si>
  <si>
    <t>Endeligt energiforbrug</t>
  </si>
  <si>
    <t>Final energy consumption</t>
  </si>
  <si>
    <t>-  Ikke energiformål</t>
  </si>
  <si>
    <t>- Non-energy use</t>
  </si>
  <si>
    <t>-  Transport</t>
  </si>
  <si>
    <t>- Transport</t>
  </si>
  <si>
    <t>-  Produktionserhverv</t>
  </si>
  <si>
    <t>- Agriculture and industry</t>
  </si>
  <si>
    <t>-  Handels- og serviceerhverv</t>
  </si>
  <si>
    <t>- Commercial and public services</t>
  </si>
  <si>
    <t>-  Husholdninger</t>
  </si>
  <si>
    <t>- Households</t>
  </si>
  <si>
    <t xml:space="preserve">Anm. Energibalancen giver et samlet overblik over forsyning, konvertering og forbrug af energi. En mere detaljeret opgørelse af tilgang (sorte tal) </t>
  </si>
  <si>
    <t xml:space="preserve">Note. The energy balance provides an overview of supply, transformation and consumption of energy.  </t>
  </si>
  <si>
    <t xml:space="preserve"> og afgang (røde tal) af de enkelte energivarer findes i tabellen Detaljeret opgørelse.</t>
  </si>
  <si>
    <t xml:space="preserve"> A more detailed account of inflows (black figures) and outflows (red figures) for each energy product may be obtained in the table Detailed Supply and Consumption.</t>
  </si>
  <si>
    <t>Produktion af primær energi</t>
  </si>
  <si>
    <t>Production of Primary Energy</t>
  </si>
  <si>
    <t>Direct Energy Contents [TJ]</t>
  </si>
  <si>
    <t>Faktisk produktion</t>
  </si>
  <si>
    <t>Observed Production</t>
  </si>
  <si>
    <t>Produktion i alt</t>
  </si>
  <si>
    <t>Total Primary Energy Production</t>
  </si>
  <si>
    <t>Eksport</t>
  </si>
  <si>
    <t>Til rådighed for raffinering og lagring</t>
  </si>
  <si>
    <t>Available for Refining and Storage</t>
  </si>
  <si>
    <t>Forbrug ved produktion *)</t>
  </si>
  <si>
    <t>Used for Production *)</t>
  </si>
  <si>
    <t>Til rådighed for indenlandsk forbrug og lagring</t>
  </si>
  <si>
    <t>Available for Domestic Consumption and Storage</t>
  </si>
  <si>
    <t>Renewable Energy</t>
  </si>
  <si>
    <t>Import</t>
  </si>
  <si>
    <t>Til rådighed for indenlandsk forbrug</t>
  </si>
  <si>
    <t>Available for domestic consumption</t>
  </si>
  <si>
    <t>Waste, Non Renewable</t>
  </si>
  <si>
    <t>*) Omfatter forbrug på platforme i Nordsøen samt forbrug til ilandtagning. Omfatter ikke afbrændt naturgas (flaring).</t>
  </si>
  <si>
    <t>1) Includes consumption on platforms in the North Sea, but excludes natural gas flared on the platforms.</t>
  </si>
  <si>
    <t>Input~2012</t>
  </si>
  <si>
    <t>CO2NSTO</t>
  </si>
  <si>
    <t>CO2 Storage- Negaive</t>
  </si>
  <si>
    <t>CO2PRCI</t>
  </si>
  <si>
    <t>IND process related capture CO2</t>
  </si>
  <si>
    <t>CO2DAC</t>
  </si>
  <si>
    <t>DAC Captured CO2</t>
  </si>
  <si>
    <t>Crude Bio oil</t>
  </si>
  <si>
    <t>Supply Crude bio oil</t>
  </si>
  <si>
    <t>SUPCRB</t>
  </si>
  <si>
    <t>CRB</t>
  </si>
  <si>
    <t>SYN</t>
  </si>
  <si>
    <t>SUPSYN</t>
  </si>
  <si>
    <t>Supply RE Syngas</t>
  </si>
  <si>
    <t xml:space="preserve">RE Syngas </t>
  </si>
  <si>
    <t>Data on fuel prices and their projections</t>
  </si>
  <si>
    <t>Commodity</t>
  </si>
  <si>
    <t>Curr</t>
  </si>
  <si>
    <t>MKr19</t>
  </si>
  <si>
    <t>Similar to Kerosene</t>
  </si>
  <si>
    <t>Similar factor as for bio dielsel</t>
  </si>
  <si>
    <t>similar to STR</t>
  </si>
  <si>
    <t>Double Natural Gas price</t>
  </si>
  <si>
    <t>Price from TIMES-DK (no source)</t>
  </si>
  <si>
    <t>Similar to MNR</t>
  </si>
  <si>
    <t>25% of WCH</t>
  </si>
  <si>
    <t>Related to Wood Waste</t>
  </si>
  <si>
    <t>PEA</t>
  </si>
  <si>
    <t>BFG</t>
  </si>
  <si>
    <t>URN</t>
  </si>
  <si>
    <t>Similar to waste</t>
  </si>
  <si>
    <t>BLQ</t>
  </si>
  <si>
    <t>Triple the price of kerosene</t>
  </si>
  <si>
    <t>Triple the price natural gas</t>
  </si>
  <si>
    <t>Import technology - electro fuels</t>
  </si>
  <si>
    <t>1.5 time the cost of biofuels</t>
  </si>
  <si>
    <t>Factor</t>
  </si>
  <si>
    <t>Semi dummy factor</t>
  </si>
  <si>
    <t>similar to Export Price of fossil alternative</t>
  </si>
  <si>
    <t>Relating to wood waste</t>
  </si>
  <si>
    <t>Guestimate (based on stat)</t>
  </si>
  <si>
    <t>Same assumption as for waste</t>
  </si>
  <si>
    <t>Relating to coal price</t>
  </si>
  <si>
    <t>Free</t>
  </si>
  <si>
    <t>Elforsk, "El från nya och framtida anläggningar 2014"</t>
  </si>
  <si>
    <t>From Danish "Samfundsøkonomiske analyseforudsætninger" made by energinet.dk and danish energy agency</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</si>
  <si>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</si>
  <si>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</si>
  <si>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</si>
  <si>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</si>
  <si>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</si>
  <si>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</si>
  <si>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</si>
  <si>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</si>
  <si>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</si>
  <si>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</si>
  <si>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</si>
  <si>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Eas CIF værdier</t>
  </si>
  <si>
    <t>Inflation correction</t>
  </si>
  <si>
    <t>Same price as kerosene</t>
  </si>
  <si>
    <t>Tal bag figur 1 og 2</t>
  </si>
  <si>
    <t>kr./ton (2020-priser)</t>
  </si>
  <si>
    <t>KF21</t>
  </si>
  <si>
    <t>BF20</t>
  </si>
  <si>
    <t>Historisk</t>
  </si>
  <si>
    <t>Fra klimafremskrivningen 2021</t>
  </si>
  <si>
    <t>FX</t>
  </si>
  <si>
    <t>https://landbrugsavisen.dk/mark/afgasset-gylle-kan-give-b%C3%A5de-tab-og-gevinst</t>
  </si>
  <si>
    <t>DKK/ha</t>
  </si>
  <si>
    <t>https://mst.dk/media/mst/67062/Udkast_Baggrundsnotat_%C3%B8konomi.pdf</t>
  </si>
  <si>
    <t>t/ha</t>
  </si>
  <si>
    <t>ENS technology catalogue</t>
  </si>
  <si>
    <t>GJ/t</t>
  </si>
  <si>
    <t>Cost of Manure is negative assuming armers gain benifits from gasified manure</t>
  </si>
  <si>
    <t>DKE,DKW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</si>
</sst>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1" formatCode="_-* #,##0_-;\-* #,##0_-;_-* &quot;-&quot;_-;_-@_-"/>
    <numFmt numFmtId="43" formatCode="_-* #,##0.00_-;\-* #,##0.00_-;_-* &quot;-&quot;??_-;_-@_-"/>
    <numFmt numFmtId="164" formatCode="_ * #,##0.00_ ;_ * \-#,##0.00_ ;_ * &quot;-&quot;??_ ;_ @_ "/>
    <numFmt numFmtId="165" formatCode="_-&quot;€&quot;\ * #,##0.00_-;\-&quot;€&quot;\ * #,##0.00_-;_-&quot;€&quot;\ * &quot;-&quot;??_-;_-@_-"/>
    <numFmt numFmtId="166" formatCode="#,##0;\-\ #,##0;_-\ &quot;- &quot;"/>
    <numFmt numFmtId="167" formatCode="_-[$€-2]\ * #,##0.00_-;\-[$€-2]\ * #,##0.00_-;_-[$€-2]\ * &quot;-&quot;??_-"/>
    <numFmt numFmtId="168" formatCode="0.000"/>
    <numFmt numFmtId="169" formatCode="0.0"/>
    <numFmt numFmtId="170" formatCode="\Te\x\t"/>
    <numFmt numFmtId="171" formatCode="_([$€]* #,##0.00_);_([$€]* \(#,##0.00\);_([$€]* &quot;-&quot;??_);_(@_)"/>
    <numFmt numFmtId="172" formatCode="#,##0.0"/>
    <numFmt numFmtId="173" formatCode="_ * #,##0.0_ ;_ * \-#,##0.0_ ;_ * &quot;-&quot;??_ ;_ @_ "/>
    <numFmt numFmtId="174" formatCode="_(* #,##0_);_(* \(#,##0\);_(* &quot;-&quot;??_);_(@_)"/>
    <numFmt numFmtId="175" formatCode="0.00000"/>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 ##0;[Red]\-#\ ##0;\-"/>
    <numFmt numFmtId="188" formatCode="#\ ###\ ##0;\-#\ ###\ ##0;\-"/>
    <numFmt numFmtId="189" formatCode="\ ###\ ##0;[Red]\-###\ ##0;&quot;-&quot;"/>
    <numFmt numFmtId="190" formatCode="###\ ###\ ##0;###\ ###\ ##0;&quot;-&quot;"/>
    <numFmt numFmtId="191" formatCode="#\ ##0;[Red]\-#\ ##0"/>
    <numFmt numFmtId="192" formatCode="###\ ###\ ##0;[Red]###\ ###\ ##0;&quot;-&quot;"/>
    <numFmt numFmtId="193" formatCode="_(* #,##0.00_);_(* \(#,##0.00\);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u/>
      <sz val="10"/>
      <color theme="10"/>
      <name val="Arial"/>
      <family val="2"/>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sz val="9"/>
      <name val="Times New Roman"/>
      <family val="1"/>
    </font>
    <font>
      <vertAlign val="superscript"/>
      <sz val="9"/>
      <name val="Times New Roman"/>
      <family val="1"/>
    </font>
    <font>
      <sz val="10"/>
      <color indexed="8"/>
      <name val="Arial"/>
      <family val="2"/>
    </font>
    <font>
      <b/>
      <sz val="9"/>
      <color indexed="8"/>
      <name val="Times New Roman"/>
      <family val="1"/>
    </font>
    <font>
      <b/>
      <i/>
      <sz val="16"/>
      <name val="Helvetica"/>
      <family val="2"/>
    </font>
    <font>
      <sz val="10"/>
      <name val="Helvetica"/>
      <family val="2"/>
    </font>
    <font>
      <sz val="10"/>
      <color theme="1"/>
      <name val="Helvetica"/>
      <family val="2"/>
    </font>
    <font>
      <sz val="11"/>
      <color theme="1"/>
      <name val="Helvetica"/>
      <family val="2"/>
    </font>
    <font>
      <sz val="11"/>
      <name val="Helvetica"/>
      <family val="2"/>
    </font>
    <font>
      <b/>
      <sz val="11"/>
      <name val="Helvetica"/>
      <family val="2"/>
    </font>
    <font>
      <b/>
      <sz val="10"/>
      <name val="Helvetica"/>
      <family val="2"/>
    </font>
    <font>
      <i/>
      <sz val="11"/>
      <color theme="1"/>
      <name val="Helvetica"/>
      <family val="2"/>
    </font>
    <font>
      <b/>
      <i/>
      <sz val="16"/>
      <name val="Arial"/>
      <family val="2"/>
    </font>
    <font>
      <sz val="14"/>
      <name val="Arial"/>
      <family val="2"/>
    </font>
    <font>
      <sz val="16"/>
      <name val="Arial"/>
      <family val="2"/>
    </font>
    <font>
      <sz val="11"/>
      <color rgb="FF00B050"/>
      <name val="Calibri"/>
      <family val="2"/>
      <scheme val="minor"/>
    </font>
    <font>
      <sz val="11"/>
      <color rgb="FF0070C0"/>
      <name val="Calibri"/>
      <family val="2"/>
      <scheme val="minor"/>
    </font>
    <font>
      <sz val="10"/>
      <color rgb="FF00B050"/>
      <name val="Arial"/>
      <family val="2"/>
    </font>
    <font>
      <b/>
      <sz val="11"/>
      <color rgb="FFFF0000"/>
      <name val="Calibri"/>
      <family val="2"/>
      <scheme val="minor"/>
    </font>
    <font>
      <b/>
      <sz val="11"/>
      <color rgb="FF00B050"/>
      <name val="Calibri"/>
      <family val="2"/>
      <scheme val="minor"/>
    </font>
    <font>
      <b/>
      <sz val="15"/>
      <name val="Calibri"/>
      <family val="2"/>
      <scheme val="minor"/>
    </font>
    <font>
      <b/>
      <sz val="9"/>
      <color theme="1"/>
      <name val="Calibri"/>
      <family val="2"/>
      <scheme val="minor"/>
    </font>
    <font>
      <sz val="9"/>
      <color theme="1"/>
      <name val="Calibri"/>
      <family val="2"/>
      <scheme val="minor"/>
    </font>
    <font>
      <b/>
      <sz val="16"/>
      <color theme="1"/>
      <name val="Calibri"/>
      <family val="2"/>
      <scheme val="minor"/>
    </font>
    <font>
      <b/>
      <sz val="9"/>
      <color rgb="FF808080"/>
      <name val="Calibri"/>
      <family val="2"/>
    </font>
    <font>
      <sz val="9"/>
      <color rgb="FFC00000"/>
      <name val="Calibri"/>
      <family val="2"/>
    </font>
    <font>
      <b/>
      <sz val="11"/>
      <color rgb="FF008B8B"/>
      <name val="Calibri"/>
      <family val="2"/>
      <scheme val="minor"/>
    </font>
  </fonts>
  <fills count="9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69696"/>
      </patternFill>
    </fill>
    <fill>
      <patternFill patternType="solid">
        <fgColor rgb="FFFFFFFF"/>
      </patternFill>
    </fill>
    <fill>
      <patternFill patternType="solid">
        <fgColor rgb="FFCCFFFF"/>
        <bgColor indexed="64"/>
      </patternFill>
    </fill>
    <fill>
      <patternFill patternType="solid">
        <fgColor indexed="41"/>
        <bgColor indexed="64"/>
      </patternFill>
    </fill>
    <fill>
      <patternFill patternType="solid">
        <fgColor indexed="22"/>
        <bgColor indexed="64"/>
      </patternFill>
    </fill>
    <fill>
      <patternFill patternType="solid">
        <fgColor theme="6"/>
        <bgColor indexed="64"/>
      </patternFill>
    </fill>
    <fill>
      <patternFill patternType="solid">
        <fgColor rgb="FFD8E4BC"/>
        <bgColor rgb="FF000000"/>
      </patternFill>
    </fill>
  </fills>
  <borders count="10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s>
  <cellStyleXfs count="7902">
    <xf numFmtId="0" fontId="0" fillId="0" borderId="0"/>
    <xf numFmtId="177"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39"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40" fillId="0" borderId="0" applyFont="0" applyFill="0" applyBorder="0" applyAlignment="0" applyProtection="0"/>
    <xf numFmtId="164"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12"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39"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7" fillId="0" borderId="0"/>
    <xf numFmtId="0" fontId="43" fillId="0" borderId="5">
      <alignment horizontal="left" vertical="center" wrapText="1" indent="2"/>
    </xf>
    <xf numFmtId="167" fontId="11"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0"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7" fontId="40" fillId="0" borderId="0" applyFont="0" applyFill="0" applyBorder="0" applyAlignment="0" applyProtection="0"/>
    <xf numFmtId="17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7"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4" fontId="48" fillId="0" borderId="0" applyFont="0" applyFill="0" applyBorder="0" applyAlignment="0" applyProtection="0"/>
    <xf numFmtId="164"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0" fontId="74" fillId="0" borderId="0" applyNumberFormat="0" applyFill="0" applyBorder="0" applyAlignment="0" applyProtection="0"/>
    <xf numFmtId="178"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4"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8"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8"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4"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7"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1"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4" fontId="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95"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7" borderId="0" applyNumberFormat="0" applyBorder="0" applyAlignment="0" applyProtection="0"/>
    <xf numFmtId="0" fontId="100" fillId="0" borderId="84" applyNumberFormat="0" applyFill="0" applyAlignment="0" applyProtection="0"/>
    <xf numFmtId="0" fontId="101" fillId="58"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60" borderId="0" applyNumberFormat="0" applyBorder="0" applyAlignment="0" applyProtection="0"/>
    <xf numFmtId="0" fontId="7" fillId="61" borderId="0" applyNumberFormat="0" applyBorder="0" applyAlignment="0" applyProtection="0"/>
    <xf numFmtId="0" fontId="7" fillId="62" borderId="0" applyNumberFormat="0" applyBorder="0" applyAlignment="0" applyProtection="0"/>
    <xf numFmtId="0" fontId="104" fillId="63" borderId="0" applyNumberFormat="0" applyBorder="0" applyAlignment="0" applyProtection="0"/>
    <xf numFmtId="0" fontId="104" fillId="64"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104" fillId="67" borderId="0" applyNumberFormat="0" applyBorder="0" applyAlignment="0" applyProtection="0"/>
    <xf numFmtId="0" fontId="104"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104" fillId="71" borderId="0" applyNumberFormat="0" applyBorder="0" applyAlignment="0" applyProtection="0"/>
    <xf numFmtId="0" fontId="104" fillId="72"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104" fillId="75" borderId="0" applyNumberFormat="0" applyBorder="0" applyAlignment="0" applyProtection="0"/>
    <xf numFmtId="0" fontId="104" fillId="76"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104" fillId="79" borderId="0" applyNumberFormat="0" applyBorder="0" applyAlignment="0" applyProtection="0"/>
    <xf numFmtId="0" fontId="104" fillId="80"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104" fillId="83" borderId="0" applyNumberFormat="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8" fontId="33" fillId="37" borderId="0" applyNumberFormat="0" applyBorder="0" applyAlignment="0"/>
    <xf numFmtId="178" fontId="11" fillId="0" borderId="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7" fontId="11" fillId="0" borderId="0"/>
    <xf numFmtId="177" fontId="11" fillId="0" borderId="0"/>
    <xf numFmtId="177" fontId="11" fillId="0" borderId="0"/>
    <xf numFmtId="177"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6" fontId="113" fillId="0" borderId="0">
      <alignment horizontal="right"/>
    </xf>
    <xf numFmtId="169"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4" fontId="11"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43" fontId="14"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6"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5" fontId="119" fillId="0" borderId="89">
      <alignment horizontal="right" vertical="center"/>
    </xf>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4" fontId="7" fillId="0" borderId="0" applyFont="0" applyFill="0" applyBorder="0" applyAlignment="0" applyProtection="0"/>
    <xf numFmtId="178" fontId="33" fillId="37" borderId="0" applyNumberFormat="0" applyBorder="0" applyAlignment="0"/>
    <xf numFmtId="0" fontId="63" fillId="0" borderId="0" applyNumberFormat="0" applyFill="0" applyBorder="0" applyAlignment="0" applyProtection="0">
      <alignment vertical="top"/>
      <protection locked="0"/>
    </xf>
    <xf numFmtId="164" fontId="11" fillId="0" borderId="0" applyFont="0" applyFill="0" applyBorder="0" applyAlignment="0" applyProtection="0"/>
    <xf numFmtId="177" fontId="107" fillId="0" borderId="0"/>
    <xf numFmtId="178" fontId="11" fillId="0" borderId="0"/>
    <xf numFmtId="164"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61" borderId="0" applyNumberFormat="0" applyBorder="0" applyAlignment="0" applyProtection="0"/>
    <xf numFmtId="0" fontId="7" fillId="62"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4" fontId="40" fillId="0" borderId="0" applyFont="0" applyFill="0" applyBorder="0" applyAlignment="0" applyProtection="0"/>
    <xf numFmtId="164"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71" fontId="11" fillId="0" borderId="0" applyFont="0" applyFill="0" applyBorder="0" applyAlignment="0" applyProtection="0"/>
    <xf numFmtId="164"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43" fontId="1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0" fontId="4" fillId="0" borderId="0"/>
    <xf numFmtId="176"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25" fillId="0" borderId="0" applyNumberFormat="0" applyFill="0" applyBorder="0" applyAlignment="0" applyProtection="0"/>
    <xf numFmtId="0" fontId="11" fillId="0" borderId="0"/>
    <xf numFmtId="0" fontId="126" fillId="0" borderId="0" applyNumberFormat="0" applyFill="0" applyBorder="0" applyAlignment="0" applyProtection="0"/>
    <xf numFmtId="0" fontId="42" fillId="0" borderId="0" applyNumberFormat="0">
      <alignment horizontal="right"/>
    </xf>
    <xf numFmtId="0" fontId="43" fillId="0" borderId="0"/>
    <xf numFmtId="0" fontId="3" fillId="0" borderId="0"/>
  </cellStyleXfs>
  <cellXfs count="864">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0" fontId="12" fillId="0" borderId="0" xfId="0" applyFont="1" applyBorder="1"/>
    <xf numFmtId="170" fontId="0" fillId="30" borderId="0" xfId="0" applyNumberFormat="1" applyFill="1"/>
    <xf numFmtId="170" fontId="13" fillId="0" borderId="0" xfId="0" applyNumberFormat="1" applyFont="1"/>
    <xf numFmtId="170" fontId="0" fillId="0" borderId="0" xfId="0" applyNumberFormat="1"/>
    <xf numFmtId="170" fontId="33" fillId="31" borderId="12" xfId="0" applyNumberFormat="1" applyFont="1" applyFill="1" applyBorder="1" applyAlignment="1">
      <alignment horizontal="left" vertical="center" wrapText="1"/>
    </xf>
    <xf numFmtId="170" fontId="34" fillId="29" borderId="13" xfId="0" quotePrefix="1" applyNumberFormat="1" applyFont="1" applyFill="1" applyBorder="1" applyAlignment="1">
      <alignment horizontal="left" vertical="center" wrapText="1"/>
    </xf>
    <xf numFmtId="170" fontId="12" fillId="0" borderId="0" xfId="0" applyNumberFormat="1" applyFont="1" applyFill="1" applyBorder="1"/>
    <xf numFmtId="170" fontId="0" fillId="0" borderId="0" xfId="0" applyNumberFormat="1" applyBorder="1"/>
    <xf numFmtId="170" fontId="0" fillId="0" borderId="0" xfId="0" applyNumberFormat="1" applyFill="1" applyBorder="1"/>
    <xf numFmtId="170" fontId="0" fillId="0" borderId="0" xfId="0" applyNumberFormat="1" applyFont="1" applyFill="1" applyBorder="1"/>
    <xf numFmtId="170" fontId="0" fillId="0" borderId="14" xfId="0" applyNumberFormat="1" applyBorder="1"/>
    <xf numFmtId="170" fontId="12" fillId="0" borderId="14" xfId="0" applyNumberFormat="1" applyFont="1" applyFill="1" applyBorder="1"/>
    <xf numFmtId="170" fontId="0" fillId="0" borderId="0" xfId="0" applyNumberFormat="1" applyFill="1" applyBorder="1" applyAlignment="1">
      <alignment wrapText="1"/>
    </xf>
    <xf numFmtId="170" fontId="0" fillId="0" borderId="14" xfId="0" applyNumberFormat="1" applyFill="1" applyBorder="1"/>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2" fontId="69" fillId="41" borderId="0" xfId="417" applyNumberFormat="1"/>
    <xf numFmtId="170"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0" fontId="45" fillId="0" borderId="0" xfId="993" applyNumberFormat="1" applyFont="1" applyFill="1" applyBorder="1"/>
    <xf numFmtId="0" fontId="40" fillId="0" borderId="0" xfId="993"/>
    <xf numFmtId="14" fontId="40" fillId="0" borderId="0" xfId="993" applyNumberFormat="1" applyFont="1" applyAlignment="1">
      <alignment horizontal="left"/>
    </xf>
    <xf numFmtId="170" fontId="40" fillId="0" borderId="0" xfId="993" applyNumberFormat="1" applyFont="1" applyFill="1" applyBorder="1" applyAlignment="1">
      <alignment horizontal="left"/>
    </xf>
    <xf numFmtId="0" fontId="40" fillId="0" borderId="0" xfId="993" applyFont="1" applyAlignment="1">
      <alignment horizontal="left"/>
    </xf>
    <xf numFmtId="170"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12" fillId="0" borderId="14" xfId="0" applyFont="1" applyFill="1" applyBorder="1" applyAlignment="1">
      <alignment horizontal="left"/>
    </xf>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4"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0" fontId="12" fillId="0" borderId="12" xfId="975" applyNumberFormat="1" applyFill="1" applyBorder="1"/>
    <xf numFmtId="170" fontId="12" fillId="33" borderId="0" xfId="975" applyNumberFormat="1" applyFont="1" applyFill="1" applyBorder="1"/>
    <xf numFmtId="170" fontId="12" fillId="30" borderId="14" xfId="975" applyNumberFormat="1" applyFont="1" applyFill="1" applyBorder="1"/>
    <xf numFmtId="170"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2" fontId="12" fillId="0" borderId="0" xfId="975" applyNumberFormat="1"/>
    <xf numFmtId="0" fontId="12" fillId="30" borderId="0" xfId="975" applyFill="1"/>
    <xf numFmtId="0" fontId="33" fillId="31" borderId="12" xfId="975" applyFont="1" applyFill="1" applyBorder="1" applyAlignment="1">
      <alignment horizontal="left" vertical="center" wrapText="1"/>
    </xf>
    <xf numFmtId="0" fontId="33" fillId="32" borderId="12" xfId="975" applyFont="1" applyFill="1" applyBorder="1" applyAlignment="1">
      <alignment horizontal="left" vertical="center" wrapText="1"/>
    </xf>
    <xf numFmtId="0" fontId="33" fillId="31" borderId="12" xfId="975" applyFont="1" applyFill="1" applyBorder="1" applyAlignment="1">
      <alignment horizontal="center" vertical="center" wrapText="1"/>
    </xf>
    <xf numFmtId="0" fontId="34" fillId="29" borderId="13" xfId="975" applyFont="1" applyFill="1" applyBorder="1" applyAlignment="1">
      <alignment horizontal="left" vertical="center" wrapText="1"/>
    </xf>
    <xf numFmtId="0" fontId="12" fillId="0" borderId="0" xfId="975" applyFont="1" applyFill="1" applyBorder="1" applyAlignment="1" applyProtection="1">
      <alignment horizontal="left"/>
      <protection locked="0"/>
    </xf>
    <xf numFmtId="2" fontId="12" fillId="0" borderId="0" xfId="975" applyNumberFormat="1" applyFont="1" applyFill="1" applyBorder="1" applyAlignment="1">
      <alignment horizontal="center"/>
    </xf>
    <xf numFmtId="2" fontId="12" fillId="0" borderId="0" xfId="975" applyNumberFormat="1" applyFont="1" applyFill="1" applyBorder="1"/>
    <xf numFmtId="2" fontId="12" fillId="31" borderId="0" xfId="975" applyNumberFormat="1" applyFont="1" applyFill="1" applyAlignment="1">
      <alignment horizontal="center"/>
    </xf>
    <xf numFmtId="9" fontId="12" fillId="0" borderId="0" xfId="975" applyNumberFormat="1" applyAlignment="1">
      <alignment horizontal="center"/>
    </xf>
    <xf numFmtId="168" fontId="12" fillId="0" borderId="0" xfId="975" applyNumberFormat="1" applyFont="1" applyFill="1" applyBorder="1" applyAlignment="1">
      <alignment horizontal="center"/>
    </xf>
    <xf numFmtId="0" fontId="12" fillId="0" borderId="0" xfId="975" applyFont="1" applyFill="1" applyAlignment="1">
      <alignment horizontal="center"/>
    </xf>
    <xf numFmtId="2" fontId="12" fillId="0" borderId="0" xfId="975" applyNumberFormat="1" applyFont="1" applyFill="1" applyAlignment="1">
      <alignment horizontal="center"/>
    </xf>
    <xf numFmtId="1" fontId="12" fillId="0" borderId="0" xfId="975" applyNumberFormat="1" applyFont="1" applyFill="1" applyBorder="1" applyAlignment="1">
      <alignment horizontal="center"/>
    </xf>
    <xf numFmtId="2" fontId="12" fillId="33" borderId="0" xfId="975" applyNumberFormat="1" applyFont="1" applyFill="1" applyBorder="1" applyAlignment="1">
      <alignment horizontal="center"/>
    </xf>
    <xf numFmtId="0" fontId="12" fillId="0" borderId="14" xfId="975" applyFont="1" applyBorder="1"/>
    <xf numFmtId="0" fontId="12" fillId="0" borderId="14" xfId="975" applyFont="1" applyFill="1" applyBorder="1" applyAlignment="1" applyProtection="1">
      <alignment horizontal="left"/>
      <protection locked="0"/>
    </xf>
    <xf numFmtId="2" fontId="12" fillId="0" borderId="14" xfId="975" applyNumberFormat="1" applyFont="1" applyFill="1" applyBorder="1" applyAlignment="1">
      <alignment horizontal="center"/>
    </xf>
    <xf numFmtId="0" fontId="12" fillId="0" borderId="14" xfId="975" applyBorder="1"/>
    <xf numFmtId="0" fontId="12" fillId="0" borderId="0" xfId="975" applyFont="1" applyBorder="1"/>
    <xf numFmtId="168" fontId="12" fillId="0" borderId="14" xfId="975" applyNumberFormat="1" applyFont="1" applyFill="1" applyBorder="1" applyAlignment="1">
      <alignment horizontal="center"/>
    </xf>
    <xf numFmtId="0" fontId="12" fillId="0" borderId="0" xfId="975" applyBorder="1"/>
    <xf numFmtId="0" fontId="34" fillId="29" borderId="14" xfId="975" applyFont="1" applyFill="1" applyBorder="1" applyAlignment="1">
      <alignment horizontal="center" vertical="center" wrapText="1"/>
    </xf>
    <xf numFmtId="168" fontId="12" fillId="0" borderId="0" xfId="975" applyNumberFormat="1" applyFont="1" applyFill="1" applyAlignment="1">
      <alignment horizontal="center"/>
    </xf>
    <xf numFmtId="168" fontId="12" fillId="0" borderId="0" xfId="975" applyNumberFormat="1" applyFont="1"/>
    <xf numFmtId="168" fontId="12" fillId="0" borderId="0" xfId="975" applyNumberFormat="1" applyFont="1" applyFill="1" applyBorder="1"/>
    <xf numFmtId="168" fontId="12" fillId="0" borderId="14" xfId="975" applyNumberFormat="1"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69" fontId="78" fillId="40" borderId="80" xfId="1467" applyNumberFormat="1" applyAlignment="1">
      <alignment horizontal="center"/>
    </xf>
    <xf numFmtId="0" fontId="12" fillId="0" borderId="0" xfId="975" applyAlignment="1"/>
    <xf numFmtId="169" fontId="12" fillId="47" borderId="0" xfId="975" applyNumberFormat="1" applyFont="1" applyFill="1" applyAlignment="1">
      <alignment horizontal="center"/>
    </xf>
    <xf numFmtId="168" fontId="12" fillId="48" borderId="0" xfId="975" applyNumberFormat="1" applyFont="1" applyFill="1" applyBorder="1" applyAlignment="1">
      <alignment horizontal="center"/>
    </xf>
    <xf numFmtId="14" fontId="12" fillId="0" borderId="0" xfId="993" applyNumberFormat="1" applyFont="1" applyAlignment="1">
      <alignment horizontal="left"/>
    </xf>
    <xf numFmtId="170" fontId="12" fillId="0" borderId="0" xfId="993" applyNumberFormat="1" applyFont="1" applyFill="1" applyBorder="1" applyAlignment="1">
      <alignment horizontal="left"/>
    </xf>
    <xf numFmtId="0" fontId="33" fillId="49" borderId="12" xfId="975" applyFont="1" applyFill="1" applyBorder="1" applyAlignment="1">
      <alignment horizontal="left" vertical="center" wrapText="1"/>
    </xf>
    <xf numFmtId="0" fontId="33" fillId="50" borderId="12" xfId="975" applyFont="1" applyFill="1" applyBorder="1" applyAlignment="1">
      <alignment horizontal="left" vertical="center" wrapText="1"/>
    </xf>
    <xf numFmtId="175" fontId="12" fillId="0" borderId="0" xfId="975" applyNumberFormat="1"/>
    <xf numFmtId="170" fontId="12" fillId="0" borderId="0" xfId="0" applyNumberFormat="1" applyFont="1" applyBorder="1"/>
    <xf numFmtId="170" fontId="12" fillId="0" borderId="14" xfId="0" applyNumberFormat="1" applyFont="1" applyBorder="1"/>
    <xf numFmtId="0" fontId="0" fillId="51" borderId="0" xfId="0" applyFill="1"/>
    <xf numFmtId="0" fontId="12" fillId="0" borderId="0" xfId="993" applyFont="1" applyAlignment="1">
      <alignment horizontal="left"/>
    </xf>
    <xf numFmtId="0" fontId="0" fillId="0" borderId="21" xfId="0" applyBorder="1"/>
    <xf numFmtId="0" fontId="0" fillId="0" borderId="60" xfId="0" applyBorder="1"/>
    <xf numFmtId="0" fontId="0" fillId="0" borderId="61" xfId="0" applyBorder="1"/>
    <xf numFmtId="170" fontId="12" fillId="0" borderId="12" xfId="0" applyNumberFormat="1" applyFont="1" applyBorder="1"/>
    <xf numFmtId="170" fontId="0" fillId="0" borderId="12" xfId="0" applyNumberFormat="1" applyBorder="1"/>
    <xf numFmtId="170" fontId="12" fillId="0" borderId="12" xfId="0" applyNumberFormat="1" applyFont="1" applyFill="1" applyBorder="1"/>
    <xf numFmtId="170" fontId="0" fillId="0" borderId="12" xfId="0" applyNumberFormat="1" applyFill="1" applyBorder="1"/>
    <xf numFmtId="0" fontId="12" fillId="0" borderId="12" xfId="0" applyFont="1" applyFill="1" applyBorder="1" applyAlignment="1">
      <alignment horizontal="left"/>
    </xf>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1" fontId="38" fillId="0" borderId="0" xfId="2002" applyNumberFormat="1" applyFont="1" applyFill="1" applyBorder="1" applyAlignment="1">
      <alignment horizontal="center"/>
    </xf>
    <xf numFmtId="1" fontId="38" fillId="0" borderId="12" xfId="2002" applyNumberFormat="1" applyFont="1" applyFill="1" applyBorder="1" applyAlignment="1">
      <alignment horizontal="center"/>
    </xf>
    <xf numFmtId="0" fontId="0" fillId="0" borderId="12" xfId="0" applyBorder="1"/>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14" xfId="0" applyFont="1" applyFill="1" applyBorder="1" applyAlignment="1">
      <alignment horizontal="center" vertical="center"/>
    </xf>
    <xf numFmtId="170" fontId="34" fillId="29" borderId="12" xfId="0" applyNumberFormat="1" applyFont="1" applyFill="1" applyBorder="1" applyAlignment="1">
      <alignment horizontal="left" vertical="center" wrapText="1"/>
    </xf>
    <xf numFmtId="170" fontId="34" fillId="29" borderId="12" xfId="0" quotePrefix="1" applyNumberFormat="1" applyFont="1" applyFill="1" applyBorder="1" applyAlignment="1">
      <alignment horizontal="left" vertical="center" wrapText="1"/>
    </xf>
    <xf numFmtId="170" fontId="12" fillId="0" borderId="12" xfId="0" applyNumberFormat="1" applyFont="1" applyFill="1" applyBorder="1" applyAlignment="1">
      <alignment horizontal="left"/>
    </xf>
    <xf numFmtId="170" fontId="13" fillId="0" borderId="12" xfId="0" applyNumberFormat="1" applyFont="1" applyFill="1" applyBorder="1" applyAlignment="1">
      <alignment horizontal="left" wrapText="1"/>
    </xf>
    <xf numFmtId="0" fontId="0" fillId="0" borderId="17" xfId="0" applyBorder="1"/>
    <xf numFmtId="0" fontId="0" fillId="0" borderId="59" xfId="0" applyBorder="1"/>
    <xf numFmtId="2" fontId="0" fillId="0" borderId="0" xfId="0" applyNumberFormat="1"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9" fontId="0" fillId="0" borderId="60" xfId="1473" applyFont="1" applyBorder="1"/>
    <xf numFmtId="0" fontId="12" fillId="0" borderId="60" xfId="0" applyFont="1" applyBorder="1"/>
    <xf numFmtId="0" fontId="0" fillId="51" borderId="14" xfId="0" applyFill="1" applyBorder="1"/>
    <xf numFmtId="170" fontId="0" fillId="0" borderId="14" xfId="0" applyNumberFormat="1" applyFont="1" applyFill="1" applyBorder="1"/>
    <xf numFmtId="0" fontId="12" fillId="0" borderId="17" xfId="0" applyFont="1" applyBorder="1"/>
    <xf numFmtId="0" fontId="12" fillId="52"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4" fillId="51"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4" fillId="37" borderId="0" xfId="0" applyFont="1" applyFill="1" applyBorder="1"/>
    <xf numFmtId="0" fontId="0" fillId="51" borderId="17" xfId="0" applyFill="1" applyBorder="1"/>
    <xf numFmtId="0" fontId="0" fillId="51" borderId="0" xfId="0" applyFill="1" applyBorder="1"/>
    <xf numFmtId="172" fontId="0" fillId="51" borderId="0" xfId="0" applyNumberFormat="1" applyFill="1" applyBorder="1"/>
    <xf numFmtId="179" fontId="0" fillId="37" borderId="0" xfId="0" applyNumberFormat="1" applyFill="1" applyBorder="1"/>
    <xf numFmtId="9" fontId="64" fillId="51"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2" borderId="67" xfId="0" applyFill="1" applyBorder="1"/>
    <xf numFmtId="0" fontId="0" fillId="52" borderId="66" xfId="0" applyFill="1" applyBorder="1"/>
    <xf numFmtId="0" fontId="0" fillId="52" borderId="68" xfId="0" applyFill="1" applyBorder="1"/>
    <xf numFmtId="0" fontId="0" fillId="37" borderId="0" xfId="0" applyFill="1"/>
    <xf numFmtId="0" fontId="61" fillId="53" borderId="0" xfId="0" applyFont="1" applyFill="1"/>
    <xf numFmtId="0" fontId="85" fillId="53" borderId="0" xfId="0" applyFont="1" applyFill="1"/>
    <xf numFmtId="179" fontId="0" fillId="0" borderId="0" xfId="0" applyNumberFormat="1" applyBorder="1"/>
    <xf numFmtId="178" fontId="33" fillId="37" borderId="0" xfId="995" applyFill="1"/>
    <xf numFmtId="178" fontId="81" fillId="46" borderId="0" xfId="1470" applyNumberFormat="1"/>
    <xf numFmtId="178" fontId="84" fillId="37" borderId="0" xfId="995" applyFont="1" applyFill="1"/>
    <xf numFmtId="178" fontId="86" fillId="37" borderId="0" xfId="995" applyFont="1" applyFill="1"/>
    <xf numFmtId="178" fontId="84" fillId="37" borderId="0" xfId="995" applyFont="1" applyFill="1" applyBorder="1"/>
    <xf numFmtId="178" fontId="84" fillId="2" borderId="0" xfId="995" applyFont="1" applyFill="1"/>
    <xf numFmtId="178" fontId="84" fillId="2" borderId="14" xfId="995" applyFont="1" applyFill="1" applyBorder="1" applyAlignment="1">
      <alignment horizontal="center"/>
    </xf>
    <xf numFmtId="178" fontId="86" fillId="37" borderId="2"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78" fontId="87" fillId="2" borderId="0" xfId="995" applyFont="1" applyFill="1" applyAlignment="1">
      <alignment horizontal="center"/>
    </xf>
    <xf numFmtId="178" fontId="84" fillId="2" borderId="12" xfId="995" applyFont="1" applyFill="1" applyBorder="1"/>
    <xf numFmtId="178" fontId="84" fillId="2" borderId="14" xfId="995" applyFont="1" applyFill="1" applyBorder="1"/>
    <xf numFmtId="180" fontId="75" fillId="37" borderId="0" xfId="433" applyNumberFormat="1" applyFill="1" applyBorder="1" applyAlignment="1"/>
    <xf numFmtId="180" fontId="75" fillId="37" borderId="60" xfId="433" applyNumberFormat="1" applyFill="1" applyBorder="1" applyAlignment="1"/>
    <xf numFmtId="180" fontId="75" fillId="37" borderId="64" xfId="433" applyNumberFormat="1" applyFill="1" applyBorder="1" applyAlignment="1"/>
    <xf numFmtId="179" fontId="75" fillId="43" borderId="0" xfId="433" applyNumberFormat="1" applyBorder="1" applyAlignment="1"/>
    <xf numFmtId="178" fontId="87" fillId="2" borderId="0" xfId="995" applyFont="1" applyFill="1" applyBorder="1"/>
    <xf numFmtId="178" fontId="84" fillId="2" borderId="69" xfId="995" applyFont="1" applyFill="1" applyBorder="1"/>
    <xf numFmtId="178" fontId="84" fillId="2" borderId="34" xfId="995" applyFont="1" applyFill="1" applyBorder="1"/>
    <xf numFmtId="178" fontId="84" fillId="2" borderId="19" xfId="995" applyFont="1" applyFill="1" applyBorder="1"/>
    <xf numFmtId="178" fontId="88" fillId="2" borderId="0" xfId="1471" applyFont="1" applyFill="1" applyAlignment="1"/>
    <xf numFmtId="172" fontId="67" fillId="39" borderId="0" xfId="25" applyNumberFormat="1" applyBorder="1"/>
    <xf numFmtId="172" fontId="67" fillId="39" borderId="0" xfId="25" applyNumberFormat="1" applyBorder="1" applyAlignment="1"/>
    <xf numFmtId="172" fontId="67" fillId="39" borderId="60" xfId="25" applyNumberFormat="1" applyBorder="1"/>
    <xf numFmtId="179" fontId="75" fillId="43" borderId="60" xfId="433" applyNumberFormat="1" applyBorder="1" applyAlignment="1"/>
    <xf numFmtId="9" fontId="67" fillId="39" borderId="0" xfId="25" applyNumberFormat="1" applyBorder="1" applyAlignment="1"/>
    <xf numFmtId="172" fontId="33" fillId="37" borderId="0" xfId="28" applyNumberFormat="1" applyBorder="1"/>
    <xf numFmtId="178" fontId="86" fillId="54" borderId="2" xfId="995" applyFont="1" applyFill="1" applyBorder="1"/>
    <xf numFmtId="178" fontId="84" fillId="37" borderId="42"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78" fontId="90" fillId="37" borderId="2" xfId="995" applyFont="1" applyFill="1" applyBorder="1" applyAlignment="1">
      <alignment horizontal="left"/>
    </xf>
    <xf numFmtId="181" fontId="84" fillId="37" borderId="2" xfId="995" applyNumberFormat="1" applyFont="1" applyFill="1" applyBorder="1"/>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78" fontId="86" fillId="54" borderId="2" xfId="995" applyFont="1" applyFill="1" applyBorder="1" applyAlignment="1">
      <alignment horizontal="right"/>
    </xf>
    <xf numFmtId="178" fontId="84" fillId="37" borderId="70" xfId="995" applyFont="1" applyFill="1" applyBorder="1"/>
    <xf numFmtId="178" fontId="84" fillId="37" borderId="18" xfId="995" applyFont="1" applyFill="1" applyBorder="1"/>
    <xf numFmtId="178" fontId="92" fillId="38" borderId="2" xfId="995" applyNumberFormat="1" applyFont="1" applyFill="1" applyBorder="1"/>
    <xf numFmtId="183" fontId="84" fillId="37" borderId="0" xfId="995" applyNumberFormat="1" applyFont="1" applyFill="1"/>
    <xf numFmtId="178" fontId="84" fillId="53" borderId="2" xfId="995" applyFont="1" applyFill="1" applyBorder="1"/>
    <xf numFmtId="178" fontId="84" fillId="2" borderId="69" xfId="995" applyFont="1" applyFill="1" applyBorder="1" applyAlignment="1">
      <alignment horizontal="center" wrapText="1"/>
    </xf>
    <xf numFmtId="178" fontId="84" fillId="2" borderId="12" xfId="995" applyFont="1" applyFill="1" applyBorder="1" applyAlignment="1">
      <alignment horizontal="centerContinuous" wrapText="1"/>
    </xf>
    <xf numFmtId="178" fontId="84" fillId="2" borderId="12" xfId="995" applyFont="1" applyFill="1" applyBorder="1" applyAlignment="1">
      <alignment horizontal="center" wrapText="1"/>
    </xf>
    <xf numFmtId="178" fontId="84" fillId="2" borderId="12" xfId="995" applyFont="1" applyFill="1" applyBorder="1" applyAlignment="1">
      <alignment wrapText="1"/>
    </xf>
    <xf numFmtId="178" fontId="84" fillId="2" borderId="49" xfId="995" applyFont="1" applyFill="1" applyBorder="1" applyAlignment="1">
      <alignment horizontal="center" wrapText="1"/>
    </xf>
    <xf numFmtId="178" fontId="84" fillId="2" borderId="34" xfId="995" applyFont="1" applyFill="1" applyBorder="1" applyAlignment="1">
      <alignment horizontal="center"/>
    </xf>
    <xf numFmtId="178" fontId="84" fillId="2" borderId="14" xfId="995" applyFont="1" applyFill="1" applyBorder="1" applyAlignment="1">
      <alignment horizontal="right"/>
    </xf>
    <xf numFmtId="178" fontId="84" fillId="2" borderId="16" xfId="995" applyFont="1" applyFill="1" applyBorder="1" applyAlignment="1">
      <alignment horizontal="center"/>
    </xf>
    <xf numFmtId="178" fontId="84" fillId="2" borderId="49" xfId="995" applyFont="1" applyFill="1" applyBorder="1" applyAlignment="1">
      <alignment horizontal="left"/>
    </xf>
    <xf numFmtId="179" fontId="91" fillId="43" borderId="69" xfId="433" applyNumberFormat="1" applyFont="1" applyBorder="1" applyAlignment="1"/>
    <xf numFmtId="179" fontId="91" fillId="43" borderId="12" xfId="433" applyNumberFormat="1" applyFont="1" applyBorder="1" applyAlignment="1"/>
    <xf numFmtId="181" fontId="91" fillId="43" borderId="12" xfId="433" applyNumberFormat="1" applyFont="1" applyBorder="1" applyAlignment="1"/>
    <xf numFmtId="179" fontId="91" fillId="53" borderId="12" xfId="995" applyNumberFormat="1" applyFont="1" applyFill="1" applyBorder="1"/>
    <xf numFmtId="181" fontId="91" fillId="43" borderId="49" xfId="433" applyNumberFormat="1" applyFont="1" applyBorder="1" applyAlignment="1"/>
    <xf numFmtId="178" fontId="84" fillId="53" borderId="70" xfId="28" applyNumberFormat="1" applyFont="1" applyFill="1" applyBorder="1" applyAlignment="1">
      <alignment horizontal="center"/>
    </xf>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79" fontId="91" fillId="53" borderId="0" xfId="995" applyNumberFormat="1" applyFont="1" applyFill="1" applyBorder="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78" fontId="84" fillId="37" borderId="19" xfId="28" applyNumberFormat="1" applyFont="1" applyBorder="1"/>
    <xf numFmtId="178" fontId="84" fillId="2" borderId="16" xfId="995" applyFont="1" applyFill="1" applyBorder="1" applyAlignment="1">
      <alignment horizontal="left"/>
    </xf>
    <xf numFmtId="179" fontId="91" fillId="43" borderId="14" xfId="433" applyNumberFormat="1" applyFont="1" applyBorder="1" applyAlignment="1"/>
    <xf numFmtId="181" fontId="91" fillId="43" borderId="14" xfId="433" applyNumberFormat="1" applyFont="1" applyBorder="1" applyAlignment="1"/>
    <xf numFmtId="178" fontId="91" fillId="53" borderId="14" xfId="995" applyNumberFormat="1" applyFont="1" applyFill="1" applyBorder="1"/>
    <xf numFmtId="181" fontId="91" fillId="43" borderId="16" xfId="433" applyNumberFormat="1" applyFont="1" applyBorder="1" applyAlignment="1"/>
    <xf numFmtId="178" fontId="84" fillId="53" borderId="42" xfId="28" applyNumberFormat="1" applyFont="1" applyFill="1" applyBorder="1" applyAlignment="1">
      <alignment horizontal="center"/>
    </xf>
    <xf numFmtId="178" fontId="88" fillId="37" borderId="0" xfId="1471" applyFont="1" applyFill="1" applyAlignment="1"/>
    <xf numFmtId="178" fontId="87" fillId="2" borderId="71" xfId="995" applyFont="1" applyFill="1" applyBorder="1" applyAlignment="1">
      <alignment horizontal="right"/>
    </xf>
    <xf numFmtId="178" fontId="87" fillId="2" borderId="72" xfId="995" applyFont="1" applyFill="1" applyBorder="1" applyAlignment="1">
      <alignment horizontal="right"/>
    </xf>
    <xf numFmtId="183" fontId="84" fillId="37" borderId="2" xfId="28" applyNumberFormat="1" applyFont="1" applyBorder="1"/>
    <xf numFmtId="181" fontId="91" fillId="43" borderId="69" xfId="433" applyNumberFormat="1" applyFont="1" applyBorder="1" applyAlignment="1"/>
    <xf numFmtId="181" fontId="91" fillId="43" borderId="19" xfId="433" applyNumberFormat="1" applyFont="1" applyBorder="1" applyAlignment="1"/>
    <xf numFmtId="181" fontId="91" fillId="43" borderId="34" xfId="433" applyNumberFormat="1" applyFont="1" applyBorder="1" applyAlignment="1"/>
    <xf numFmtId="181"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1" fontId="93" fillId="37" borderId="2" xfId="2000" applyNumberFormat="1" applyFont="1" applyFill="1" applyBorder="1" applyProtection="1">
      <protection locked="0"/>
    </xf>
    <xf numFmtId="178" fontId="93" fillId="37" borderId="2" xfId="2000" applyNumberFormat="1" applyFont="1" applyFill="1" applyBorder="1"/>
    <xf numFmtId="0" fontId="84" fillId="37" borderId="2" xfId="28" applyFont="1" applyBorder="1"/>
    <xf numFmtId="181" fontId="84" fillId="37" borderId="2" xfId="28" applyNumberFormat="1" applyFont="1" applyBorder="1" applyProtection="1">
      <protection locked="0"/>
    </xf>
    <xf numFmtId="0" fontId="91" fillId="43" borderId="2" xfId="433" applyNumberFormat="1" applyFont="1" applyBorder="1" applyAlignment="1">
      <alignment horizontal="left"/>
    </xf>
    <xf numFmtId="178" fontId="90" fillId="53" borderId="2" xfId="995" applyFont="1" applyFill="1" applyBorder="1" applyAlignment="1">
      <alignment horizontal="left"/>
    </xf>
    <xf numFmtId="178" fontId="93" fillId="37" borderId="0" xfId="2000" applyNumberFormat="1" applyFont="1" applyFill="1" applyBorder="1"/>
    <xf numFmtId="178" fontId="84" fillId="2" borderId="2" xfId="995" applyFont="1" applyFill="1" applyBorder="1"/>
    <xf numFmtId="179" fontId="84" fillId="2" borderId="2" xfId="995" applyNumberFormat="1" applyFont="1" applyFill="1" applyBorder="1"/>
    <xf numFmtId="179" fontId="84" fillId="51" borderId="2" xfId="995" applyNumberFormat="1" applyFont="1" applyFill="1" applyBorder="1"/>
    <xf numFmtId="181" fontId="84" fillId="55" borderId="2" xfId="995" applyNumberFormat="1" applyFont="1" applyFill="1" applyBorder="1"/>
    <xf numFmtId="178" fontId="84" fillId="2" borderId="2" xfId="995" applyFont="1" applyFill="1" applyBorder="1" applyAlignment="1">
      <alignment horizontal="centerContinuous"/>
    </xf>
    <xf numFmtId="180" fontId="89" fillId="39" borderId="2" xfId="25" applyNumberFormat="1" applyFont="1" applyBorder="1"/>
    <xf numFmtId="178" fontId="84" fillId="51" borderId="2" xfId="995" applyNumberFormat="1" applyFont="1" applyFill="1" applyBorder="1"/>
    <xf numFmtId="180" fontId="84" fillId="51"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8" fontId="83" fillId="37" borderId="2" xfId="2000" applyNumberFormat="1" applyFill="1" applyBorder="1"/>
    <xf numFmtId="179" fontId="93" fillId="37" borderId="2" xfId="2000" applyNumberFormat="1" applyFont="1" applyFill="1" applyBorder="1"/>
    <xf numFmtId="176" fontId="87" fillId="2" borderId="0" xfId="1987" applyNumberFormat="1" applyFont="1" applyFill="1"/>
    <xf numFmtId="178" fontId="67" fillId="39" borderId="0" xfId="25" applyNumberFormat="1" applyBorder="1"/>
    <xf numFmtId="181" fontId="67" fillId="39" borderId="2" xfId="25" applyNumberFormat="1" applyBorder="1"/>
    <xf numFmtId="180" fontId="67" fillId="39" borderId="2" xfId="25" applyNumberFormat="1" applyBorder="1"/>
    <xf numFmtId="178" fontId="80" fillId="45" borderId="0" xfId="1469" applyNumberFormat="1"/>
    <xf numFmtId="178" fontId="88" fillId="37" borderId="0" xfId="1471" applyFont="1" applyFill="1" applyBorder="1" applyAlignment="1"/>
    <xf numFmtId="179" fontId="91" fillId="51" borderId="12" xfId="433" applyNumberFormat="1" applyFont="1" applyFill="1" applyBorder="1" applyAlignment="1"/>
    <xf numFmtId="179" fontId="91" fillId="51" borderId="0" xfId="433" applyNumberFormat="1" applyFont="1" applyFill="1" applyBorder="1" applyAlignment="1"/>
    <xf numFmtId="179" fontId="91" fillId="51" borderId="14" xfId="433" applyNumberFormat="1" applyFont="1" applyFill="1" applyBorder="1" applyAlignment="1"/>
    <xf numFmtId="176" fontId="84" fillId="51" borderId="12" xfId="28" applyNumberFormat="1" applyFont="1" applyFill="1" applyBorder="1" applyAlignment="1">
      <alignment horizontal="right"/>
    </xf>
    <xf numFmtId="176" fontId="84" fillId="51" borderId="0" xfId="28" applyNumberFormat="1" applyFont="1" applyFill="1" applyBorder="1" applyAlignment="1">
      <alignment horizontal="right"/>
    </xf>
    <xf numFmtId="176" fontId="84" fillId="51" borderId="14" xfId="28" applyNumberFormat="1" applyFont="1" applyFill="1" applyBorder="1" applyAlignment="1">
      <alignment horizontal="right"/>
    </xf>
    <xf numFmtId="9" fontId="91" fillId="51" borderId="49" xfId="1987" applyFont="1" applyFill="1" applyBorder="1"/>
    <xf numFmtId="9" fontId="91" fillId="51" borderId="20" xfId="1987" applyFont="1" applyFill="1" applyBorder="1"/>
    <xf numFmtId="9" fontId="91" fillId="51" borderId="20" xfId="433" applyNumberFormat="1" applyFont="1" applyFill="1" applyBorder="1" applyAlignment="1"/>
    <xf numFmtId="9" fontId="91" fillId="51" borderId="16" xfId="433" applyNumberFormat="1" applyFont="1" applyFill="1" applyBorder="1" applyAlignment="1"/>
    <xf numFmtId="181" fontId="84" fillId="51" borderId="49" xfId="28" applyNumberFormat="1" applyFont="1" applyFill="1" applyBorder="1"/>
    <xf numFmtId="181" fontId="84" fillId="51" borderId="20" xfId="28" applyNumberFormat="1" applyFont="1" applyFill="1" applyBorder="1"/>
    <xf numFmtId="181" fontId="84" fillId="51" borderId="18" xfId="28" applyNumberFormat="1" applyFont="1" applyFill="1" applyBorder="1"/>
    <xf numFmtId="181" fontId="84" fillId="51" borderId="16" xfId="28" applyNumberFormat="1" applyFont="1" applyFill="1" applyBorder="1"/>
    <xf numFmtId="184" fontId="91" fillId="51" borderId="49" xfId="433" applyNumberFormat="1" applyFont="1" applyFill="1" applyBorder="1" applyAlignment="1"/>
    <xf numFmtId="184" fontId="91" fillId="51" borderId="20" xfId="433" applyNumberFormat="1" applyFont="1" applyFill="1" applyBorder="1" applyAlignment="1"/>
    <xf numFmtId="184" fontId="91" fillId="51" borderId="16" xfId="433" applyNumberFormat="1" applyFont="1" applyFill="1" applyBorder="1" applyAlignment="1"/>
    <xf numFmtId="182" fontId="91" fillId="51" borderId="49" xfId="433" applyNumberFormat="1" applyFont="1" applyFill="1" applyBorder="1" applyAlignment="1"/>
    <xf numFmtId="182" fontId="91" fillId="51" borderId="20" xfId="433" applyNumberFormat="1" applyFont="1" applyFill="1" applyBorder="1" applyAlignment="1"/>
    <xf numFmtId="182" fontId="91" fillId="51" borderId="16" xfId="433" applyNumberFormat="1" applyFont="1" applyFill="1" applyBorder="1" applyAlignment="1"/>
    <xf numFmtId="172" fontId="33" fillId="37" borderId="0" xfId="433" applyNumberFormat="1" applyFont="1" applyFill="1" applyBorder="1" applyAlignment="1"/>
    <xf numFmtId="179" fontId="84" fillId="37" borderId="0" xfId="28" applyNumberFormat="1" applyFont="1" applyBorder="1"/>
    <xf numFmtId="179" fontId="89" fillId="39" borderId="0" xfId="25" applyNumberFormat="1" applyFont="1" applyBorder="1"/>
    <xf numFmtId="179" fontId="84" fillId="37" borderId="0" xfId="28" applyNumberFormat="1" applyFont="1" applyBorder="1" applyProtection="1">
      <protection locked="0"/>
    </xf>
    <xf numFmtId="179" fontId="75" fillId="43" borderId="0" xfId="433" applyNumberFormat="1" applyBorder="1" applyAlignment="1" applyProtection="1">
      <protection locked="0"/>
    </xf>
    <xf numFmtId="181" fontId="84" fillId="37" borderId="0" xfId="28" applyNumberFormat="1" applyFont="1" applyBorder="1" applyProtection="1">
      <protection locked="0"/>
    </xf>
    <xf numFmtId="178" fontId="91" fillId="43" borderId="21" xfId="433" applyFont="1" applyBorder="1" applyAlignment="1">
      <alignment horizontal="left"/>
    </xf>
    <xf numFmtId="178" fontId="91" fillId="43" borderId="21" xfId="433" applyNumberFormat="1" applyFont="1" applyBorder="1" applyAlignment="1"/>
    <xf numFmtId="178" fontId="91" fillId="43" borderId="21" xfId="433" applyFont="1" applyBorder="1" applyAlignment="1"/>
    <xf numFmtId="181" fontId="89" fillId="45" borderId="2" xfId="25" applyNumberFormat="1" applyFont="1" applyFill="1" applyBorder="1" applyProtection="1">
      <protection locked="0"/>
    </xf>
    <xf numFmtId="170" fontId="94" fillId="0" borderId="0" xfId="0" applyNumberFormat="1" applyFont="1" applyFill="1" applyBorder="1"/>
    <xf numFmtId="0" fontId="10" fillId="0" borderId="0" xfId="2005"/>
    <xf numFmtId="0" fontId="11" fillId="0" borderId="0" xfId="2007"/>
    <xf numFmtId="170"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0" fontId="11" fillId="0" borderId="0" xfId="0" applyNumberFormat="1" applyFont="1" applyFill="1" applyBorder="1"/>
    <xf numFmtId="170" fontId="11" fillId="0" borderId="14"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975" applyFont="1" applyBorder="1"/>
    <xf numFmtId="0" fontId="11" fillId="0" borderId="0" xfId="0" applyFont="1" applyFill="1" applyBorder="1" applyAlignment="1"/>
    <xf numFmtId="0" fontId="12" fillId="56" borderId="0" xfId="975" applyFill="1"/>
    <xf numFmtId="0" fontId="12" fillId="56" borderId="0" xfId="975" applyFill="1" applyAlignment="1"/>
    <xf numFmtId="0" fontId="12" fillId="56" borderId="14" xfId="975" applyFill="1" applyBorder="1" applyAlignment="1"/>
    <xf numFmtId="0" fontId="12" fillId="56" borderId="14" xfId="975" applyFill="1" applyBorder="1"/>
    <xf numFmtId="14" fontId="12" fillId="56" borderId="0" xfId="975" applyNumberFormat="1" applyFill="1" applyAlignment="1"/>
    <xf numFmtId="164" fontId="12" fillId="56" borderId="0" xfId="47" applyFont="1" applyFill="1"/>
    <xf numFmtId="164" fontId="12" fillId="56" borderId="14" xfId="47" applyFont="1" applyFill="1" applyBorder="1"/>
    <xf numFmtId="0" fontId="11" fillId="56" borderId="0" xfId="975" applyFont="1" applyFill="1"/>
    <xf numFmtId="0" fontId="12" fillId="56" borderId="0" xfId="975" applyFont="1" applyFill="1" applyBorder="1"/>
    <xf numFmtId="1" fontId="12" fillId="56" borderId="0" xfId="975" applyNumberFormat="1" applyFill="1"/>
    <xf numFmtId="2" fontId="12" fillId="56" borderId="0" xfId="975" applyNumberFormat="1" applyFill="1"/>
    <xf numFmtId="169" fontId="12" fillId="56" borderId="0" xfId="975" applyNumberFormat="1" applyFont="1" applyFill="1" applyAlignment="1">
      <alignment horizontal="center"/>
    </xf>
    <xf numFmtId="0" fontId="45" fillId="0" borderId="0" xfId="975" applyFont="1"/>
    <xf numFmtId="169" fontId="12" fillId="0" borderId="0" xfId="975" applyNumberFormat="1" applyBorder="1" applyAlignment="1">
      <alignment horizontal="center"/>
    </xf>
    <xf numFmtId="0" fontId="12" fillId="0" borderId="68" xfId="975" applyBorder="1"/>
    <xf numFmtId="0" fontId="45" fillId="0" borderId="66" xfId="975" applyFont="1" applyBorder="1" applyAlignment="1">
      <alignment horizontal="center"/>
    </xf>
    <xf numFmtId="0" fontId="45" fillId="0" borderId="67" xfId="975" applyFont="1" applyBorder="1" applyAlignment="1">
      <alignment horizontal="center"/>
    </xf>
    <xf numFmtId="0" fontId="12" fillId="0" borderId="17" xfId="975" applyBorder="1"/>
    <xf numFmtId="0" fontId="11" fillId="0" borderId="21" xfId="975" applyFont="1" applyBorder="1"/>
    <xf numFmtId="0" fontId="45" fillId="0" borderId="17" xfId="975" applyFont="1" applyFill="1" applyBorder="1"/>
    <xf numFmtId="169" fontId="12" fillId="0" borderId="21" xfId="975" applyNumberFormat="1" applyBorder="1" applyAlignment="1">
      <alignment horizontal="center"/>
    </xf>
    <xf numFmtId="0" fontId="45" fillId="0" borderId="59" xfId="975" applyFont="1" applyFill="1" applyBorder="1"/>
    <xf numFmtId="169" fontId="12" fillId="0" borderId="60" xfId="975" applyNumberFormat="1" applyBorder="1" applyAlignment="1">
      <alignment horizontal="center"/>
    </xf>
    <xf numFmtId="169" fontId="12" fillId="0" borderId="61" xfId="975" applyNumberFormat="1" applyBorder="1" applyAlignment="1">
      <alignment horizontal="center"/>
    </xf>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0"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69" fontId="96" fillId="0" borderId="0" xfId="3312" applyNumberFormat="1" applyFont="1" applyFill="1" applyBorder="1" applyAlignment="1">
      <alignment horizontal="center"/>
    </xf>
    <xf numFmtId="169" fontId="82" fillId="0" borderId="17" xfId="3312" applyNumberFormat="1" applyFont="1" applyFill="1" applyBorder="1" applyAlignment="1">
      <alignment horizontal="left"/>
    </xf>
    <xf numFmtId="169"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9" fontId="0" fillId="56" borderId="0" xfId="1473" applyFont="1" applyFill="1" applyBorder="1"/>
    <xf numFmtId="14" fontId="0" fillId="0" borderId="0" xfId="0" applyNumberFormat="1" applyBorder="1"/>
    <xf numFmtId="170" fontId="11" fillId="0" borderId="0" xfId="993" applyNumberFormat="1" applyFont="1" applyFill="1" applyBorder="1"/>
    <xf numFmtId="178" fontId="84" fillId="37" borderId="0" xfId="995" applyFont="1" applyFill="1"/>
    <xf numFmtId="178" fontId="84" fillId="37" borderId="0"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80" fontId="75" fillId="37" borderId="0" xfId="433" applyNumberFormat="1" applyFill="1" applyBorder="1" applyAlignment="1"/>
    <xf numFmtId="178" fontId="87" fillId="2" borderId="0" xfId="995" applyFont="1" applyFill="1" applyBorder="1"/>
    <xf numFmtId="178" fontId="84" fillId="2" borderId="19"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83" fontId="84" fillId="37" borderId="0" xfId="995" applyNumberFormat="1" applyFont="1" applyFill="1"/>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83" fontId="84" fillId="37" borderId="2" xfId="28" applyNumberFormat="1" applyFont="1" applyBorder="1"/>
    <xf numFmtId="178" fontId="67" fillId="39" borderId="0" xfId="25" applyNumberFormat="1" applyBorder="1"/>
    <xf numFmtId="179" fontId="91" fillId="51" borderId="0" xfId="433" applyNumberFormat="1" applyFont="1" applyFill="1" applyBorder="1" applyAlignment="1"/>
    <xf numFmtId="176" fontId="84" fillId="51" borderId="0" xfId="28" applyNumberFormat="1" applyFont="1" applyFill="1" applyBorder="1" applyAlignment="1">
      <alignment horizontal="right"/>
    </xf>
    <xf numFmtId="181" fontId="84" fillId="51" borderId="20" xfId="28" applyNumberFormat="1" applyFont="1" applyFill="1" applyBorder="1"/>
    <xf numFmtId="184" fontId="91" fillId="51" borderId="20" xfId="433" applyNumberFormat="1" applyFont="1" applyFill="1" applyBorder="1" applyAlignment="1"/>
    <xf numFmtId="182" fontId="91" fillId="51" borderId="20" xfId="433" applyNumberFormat="1" applyFont="1" applyFill="1" applyBorder="1" applyAlignment="1"/>
    <xf numFmtId="179" fontId="84" fillId="37" borderId="0" xfId="28" applyNumberFormat="1" applyFont="1" applyBorder="1" applyProtection="1">
      <protection locked="0"/>
    </xf>
    <xf numFmtId="178" fontId="91" fillId="43" borderId="21" xfId="433" applyFont="1" applyBorder="1" applyAlignment="1">
      <alignment horizontal="left"/>
    </xf>
    <xf numFmtId="178" fontId="33" fillId="37" borderId="0" xfId="3371" applyFill="1"/>
    <xf numFmtId="178"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2" borderId="0" xfId="3261" applyFont="1" applyFill="1"/>
    <xf numFmtId="0" fontId="82" fillId="84" borderId="0" xfId="3261" applyFont="1" applyFill="1"/>
    <xf numFmtId="0" fontId="6" fillId="0" borderId="0" xfId="3261" applyFont="1"/>
    <xf numFmtId="170" fontId="5" fillId="0" borderId="0" xfId="5676" applyNumberFormat="1" applyFont="1"/>
    <xf numFmtId="0" fontId="0" fillId="0" borderId="0" xfId="0" quotePrefix="1" applyFill="1" applyBorder="1"/>
    <xf numFmtId="0" fontId="0" fillId="0" borderId="0" xfId="0" applyFont="1" applyFill="1" applyBorder="1"/>
    <xf numFmtId="170" fontId="0" fillId="0" borderId="0" xfId="0" applyNumberFormat="1"/>
    <xf numFmtId="170" fontId="0" fillId="0" borderId="0" xfId="0" applyNumberFormat="1" applyBorder="1"/>
    <xf numFmtId="0" fontId="0" fillId="0" borderId="0" xfId="0"/>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xf numFmtId="0" fontId="11" fillId="0" borderId="0" xfId="0" applyFont="1" applyFill="1" applyBorder="1" applyAlignment="1">
      <alignment horizontal="center" vertical="center"/>
    </xf>
    <xf numFmtId="0" fontId="0" fillId="0" borderId="12" xfId="0" applyFill="1" applyBorder="1"/>
    <xf numFmtId="0" fontId="82" fillId="0" borderId="0" xfId="6229" applyFont="1"/>
    <xf numFmtId="0" fontId="4" fillId="0" borderId="0" xfId="6229"/>
    <xf numFmtId="0" fontId="4" fillId="0" borderId="0" xfId="6229" applyFont="1"/>
    <xf numFmtId="169" fontId="4" fillId="0" borderId="90" xfId="7504" applyNumberFormat="1" applyFont="1" applyFill="1" applyBorder="1" applyAlignment="1">
      <alignment horizontal="center"/>
    </xf>
    <xf numFmtId="169" fontId="4" fillId="51" borderId="90" xfId="7504" applyNumberFormat="1" applyFont="1" applyFill="1" applyBorder="1" applyAlignment="1">
      <alignment horizontal="center"/>
    </xf>
    <xf numFmtId="0" fontId="82" fillId="0" borderId="68" xfId="7490" applyFont="1" applyFill="1" applyBorder="1"/>
    <xf numFmtId="164"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1" borderId="0" xfId="7490" applyNumberFormat="1" applyFill="1" applyBorder="1"/>
    <xf numFmtId="0" fontId="4" fillId="51"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5" borderId="0" xfId="991" applyFont="1" applyFill="1"/>
    <xf numFmtId="0" fontId="123" fillId="0" borderId="0" xfId="991" applyFont="1" applyAlignment="1">
      <alignment horizontal="right"/>
    </xf>
    <xf numFmtId="0" fontId="84" fillId="86" borderId="90" xfId="991" applyFont="1" applyFill="1" applyBorder="1" applyAlignment="1">
      <alignment horizontal="left" wrapText="1"/>
    </xf>
    <xf numFmtId="0" fontId="84" fillId="86" borderId="90" xfId="991" applyFont="1" applyFill="1" applyBorder="1" applyAlignment="1">
      <alignment horizontal="right" wrapText="1"/>
    </xf>
    <xf numFmtId="0" fontId="123" fillId="30" borderId="0" xfId="991" applyFont="1" applyFill="1"/>
    <xf numFmtId="0" fontId="84" fillId="31" borderId="58" xfId="991" applyFont="1" applyFill="1" applyBorder="1" applyAlignment="1">
      <alignment horizontal="left" vertical="center" wrapText="1"/>
    </xf>
    <xf numFmtId="0" fontId="84" fillId="31" borderId="58" xfId="991" applyFont="1" applyFill="1" applyBorder="1" applyAlignment="1">
      <alignment horizontal="left" vertical="top" wrapText="1"/>
    </xf>
    <xf numFmtId="0" fontId="84" fillId="31" borderId="58" xfId="991" applyFont="1" applyFill="1" applyBorder="1" applyAlignment="1">
      <alignment horizontal="right" vertical="center" wrapText="1"/>
    </xf>
    <xf numFmtId="0" fontId="93" fillId="0" borderId="0" xfId="991" applyFont="1" applyAlignment="1">
      <alignment horizontal="right"/>
    </xf>
    <xf numFmtId="0" fontId="93" fillId="86" borderId="90" xfId="991" applyFont="1" applyFill="1" applyBorder="1" applyAlignment="1">
      <alignment horizontal="right" wrapText="1"/>
    </xf>
    <xf numFmtId="0" fontId="93" fillId="0" borderId="0" xfId="0" applyFont="1"/>
    <xf numFmtId="0" fontId="93" fillId="31" borderId="58" xfId="991" applyFont="1" applyFill="1" applyBorder="1" applyAlignment="1">
      <alignment horizontal="right" vertical="center" wrapText="1"/>
    </xf>
    <xf numFmtId="0" fontId="0" fillId="0" borderId="0" xfId="0" applyNumberFormat="1" applyFont="1" applyFill="1" applyBorder="1" applyAlignment="1" applyProtection="1"/>
    <xf numFmtId="0" fontId="33" fillId="87" borderId="93" xfId="0" applyNumberFormat="1" applyFont="1" applyFill="1" applyBorder="1" applyAlignment="1" applyProtection="1">
      <alignment horizontal="left" vertical="center" wrapText="1"/>
    </xf>
    <xf numFmtId="0" fontId="47" fillId="88" borderId="94" xfId="0" applyNumberFormat="1" applyFont="1" applyFill="1" applyBorder="1" applyAlignment="1" applyProtection="1">
      <alignment horizontal="left" vertical="center" wrapText="1"/>
    </xf>
    <xf numFmtId="1" fontId="0" fillId="0" borderId="0" xfId="0" applyNumberFormat="1" applyFont="1" applyFill="1" applyBorder="1" applyAlignment="1" applyProtection="1"/>
    <xf numFmtId="1" fontId="11" fillId="88" borderId="0" xfId="0" applyNumberFormat="1" applyFont="1" applyFill="1" applyBorder="1" applyAlignment="1" applyProtection="1">
      <alignment horizontal="center"/>
    </xf>
    <xf numFmtId="1" fontId="11" fillId="0" borderId="0" xfId="0" applyNumberFormat="1" applyFont="1" applyFill="1" applyBorder="1" applyAlignment="1" applyProtection="1"/>
    <xf numFmtId="1" fontId="38" fillId="0" borderId="95" xfId="0" applyNumberFormat="1" applyFont="1" applyFill="1" applyBorder="1" applyAlignment="1" applyProtection="1">
      <alignment horizontal="center"/>
    </xf>
    <xf numFmtId="1" fontId="38" fillId="0" borderId="96" xfId="0" applyNumberFormat="1" applyFont="1" applyFill="1" applyBorder="1" applyAlignment="1" applyProtection="1">
      <alignment horizontal="center"/>
    </xf>
    <xf numFmtId="0" fontId="0" fillId="0" borderId="96" xfId="0" applyNumberFormat="1" applyFont="1" applyFill="1" applyBorder="1" applyAlignment="1" applyProtection="1"/>
    <xf numFmtId="0" fontId="11" fillId="0" borderId="0" xfId="0" applyFont="1" applyFill="1"/>
    <xf numFmtId="170" fontId="0" fillId="0" borderId="96" xfId="0" applyNumberFormat="1" applyBorder="1"/>
    <xf numFmtId="170" fontId="11" fillId="0" borderId="96" xfId="0" applyNumberFormat="1" applyFont="1" applyFill="1" applyBorder="1"/>
    <xf numFmtId="170" fontId="0" fillId="0" borderId="96" xfId="0" applyNumberFormat="1" applyFill="1" applyBorder="1"/>
    <xf numFmtId="1" fontId="11" fillId="0" borderId="0" xfId="0" applyNumberFormat="1" applyFont="1" applyFill="1" applyBorder="1"/>
    <xf numFmtId="1" fontId="11" fillId="0" borderId="0" xfId="0" applyNumberFormat="1" applyFont="1" applyBorder="1"/>
    <xf numFmtId="0" fontId="33" fillId="32" borderId="95" xfId="975" applyFont="1" applyFill="1" applyBorder="1" applyAlignment="1">
      <alignment horizontal="left" vertical="center" wrapText="1"/>
    </xf>
    <xf numFmtId="0" fontId="34" fillId="29" borderId="94" xfId="975" applyFont="1" applyFill="1" applyBorder="1" applyAlignment="1">
      <alignment horizontal="left" vertical="center" wrapText="1"/>
    </xf>
    <xf numFmtId="2" fontId="12" fillId="0" borderId="96" xfId="975" applyNumberFormat="1" applyFont="1" applyFill="1" applyBorder="1" applyAlignment="1">
      <alignment horizontal="center"/>
    </xf>
    <xf numFmtId="0" fontId="11" fillId="0" borderId="0" xfId="0" applyFont="1"/>
    <xf numFmtId="1" fontId="38" fillId="0" borderId="0" xfId="0" applyNumberFormat="1" applyFont="1" applyFill="1" applyBorder="1" applyAlignment="1" applyProtection="1">
      <alignment horizontal="center"/>
    </xf>
    <xf numFmtId="170" fontId="12" fillId="0" borderId="96" xfId="0" applyNumberFormat="1" applyFont="1" applyBorder="1"/>
    <xf numFmtId="170" fontId="12" fillId="0" borderId="96" xfId="0" applyNumberFormat="1" applyFont="1" applyFill="1" applyBorder="1"/>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0" fillId="0" borderId="96" xfId="0" applyBorder="1"/>
    <xf numFmtId="0" fontId="0" fillId="0" borderId="96" xfId="0" applyFill="1" applyBorder="1"/>
    <xf numFmtId="186" fontId="33" fillId="89" borderId="0" xfId="0" applyNumberFormat="1" applyFont="1" applyFill="1"/>
    <xf numFmtId="0" fontId="33" fillId="89" borderId="0" xfId="991" applyFont="1" applyFill="1"/>
    <xf numFmtId="9" fontId="0" fillId="0" borderId="0" xfId="0" applyNumberFormat="1" applyFill="1" applyBorder="1"/>
    <xf numFmtId="170" fontId="11" fillId="0" borderId="0" xfId="0" applyNumberFormat="1" applyFont="1"/>
    <xf numFmtId="0" fontId="11" fillId="0" borderId="12" xfId="0" applyFont="1" applyFill="1" applyBorder="1" applyAlignment="1">
      <alignment horizontal="center" vertical="center"/>
    </xf>
    <xf numFmtId="0" fontId="84" fillId="31" borderId="0" xfId="991" applyFont="1" applyFill="1" applyBorder="1" applyAlignment="1">
      <alignment horizontal="right" vertical="center" wrapText="1"/>
    </xf>
    <xf numFmtId="0" fontId="14" fillId="0" borderId="0" xfId="0" applyFont="1" applyFill="1" applyProtection="1"/>
    <xf numFmtId="0" fontId="11" fillId="0" borderId="0" xfId="0" applyFont="1" applyFill="1" applyBorder="1"/>
    <xf numFmtId="0" fontId="125" fillId="0" borderId="0" xfId="7896"/>
    <xf numFmtId="170" fontId="0" fillId="89" borderId="0" xfId="0" applyNumberFormat="1" applyFont="1" applyFill="1" applyBorder="1"/>
    <xf numFmtId="0" fontId="33" fillId="31" borderId="95" xfId="0" applyFont="1" applyFill="1" applyBorder="1" applyAlignment="1">
      <alignment horizontal="center" vertical="center" wrapText="1"/>
    </xf>
    <xf numFmtId="0" fontId="34" fillId="90" borderId="94" xfId="0" applyFont="1" applyFill="1" applyBorder="1" applyAlignment="1">
      <alignment horizontal="center" vertical="center" wrapText="1"/>
    </xf>
    <xf numFmtId="9" fontId="0" fillId="0" borderId="0" xfId="0" applyNumberFormat="1"/>
    <xf numFmtId="170" fontId="11" fillId="91" borderId="0" xfId="0" applyNumberFormat="1" applyFont="1" applyFill="1" applyBorder="1"/>
    <xf numFmtId="170" fontId="94" fillId="91" borderId="0" xfId="0" applyNumberFormat="1" applyFont="1" applyFill="1" applyBorder="1"/>
    <xf numFmtId="170" fontId="11" fillId="91" borderId="96" xfId="7897" applyNumberFormat="1" applyFill="1" applyBorder="1"/>
    <xf numFmtId="10" fontId="0" fillId="0" borderId="0" xfId="0" applyNumberFormat="1"/>
    <xf numFmtId="0" fontId="45" fillId="0" borderId="0" xfId="0" applyFont="1"/>
    <xf numFmtId="170" fontId="11" fillId="0" borderId="0" xfId="0" applyNumberFormat="1" applyFont="1" applyBorder="1"/>
    <xf numFmtId="0" fontId="77" fillId="0" borderId="0" xfId="2620" applyFont="1"/>
    <xf numFmtId="170" fontId="0" fillId="0" borderId="0" xfId="988" applyNumberFormat="1" applyFont="1"/>
    <xf numFmtId="0" fontId="77" fillId="0" borderId="0" xfId="2620" applyFont="1" applyFill="1"/>
    <xf numFmtId="0" fontId="11" fillId="2" borderId="66" xfId="3738" applyFill="1" applyBorder="1"/>
    <xf numFmtId="0" fontId="11" fillId="2" borderId="0" xfId="3738" applyFill="1"/>
    <xf numFmtId="0" fontId="42" fillId="2" borderId="66" xfId="7899" applyNumberFormat="1" applyFill="1" applyBorder="1">
      <alignment horizontal="right"/>
    </xf>
    <xf numFmtId="0" fontId="11" fillId="0" borderId="0" xfId="3738"/>
    <xf numFmtId="0" fontId="126" fillId="2" borderId="17" xfId="7898" applyFill="1" applyBorder="1" applyAlignment="1"/>
    <xf numFmtId="0" fontId="127" fillId="2" borderId="0" xfId="3738" applyFont="1" applyFill="1"/>
    <xf numFmtId="0" fontId="42" fillId="2" borderId="0" xfId="7899" applyNumberFormat="1" applyFill="1">
      <alignment horizontal="right"/>
    </xf>
    <xf numFmtId="0" fontId="11" fillId="2" borderId="17" xfId="3738" applyFill="1" applyBorder="1"/>
    <xf numFmtId="0" fontId="44" fillId="21" borderId="99" xfId="7900" applyFont="1" applyFill="1" applyBorder="1" applyAlignment="1">
      <alignment horizontal="center" vertical="center"/>
    </xf>
    <xf numFmtId="0" fontId="44" fillId="21" borderId="103" xfId="7900" applyFont="1" applyFill="1" applyBorder="1" applyAlignment="1">
      <alignment horizontal="center" vertical="center"/>
    </xf>
    <xf numFmtId="0" fontId="44" fillId="21" borderId="104" xfId="7900" applyFont="1" applyFill="1" applyBorder="1" applyAlignment="1">
      <alignment horizontal="center" vertical="center"/>
    </xf>
    <xf numFmtId="0" fontId="44" fillId="21" borderId="107" xfId="7900" applyFont="1" applyFill="1" applyBorder="1" applyAlignment="1">
      <alignment vertical="center"/>
    </xf>
    <xf numFmtId="2" fontId="130" fillId="42" borderId="107" xfId="7901" applyNumberFormat="1" applyFont="1" applyFill="1" applyBorder="1" applyAlignment="1">
      <alignment horizontal="right"/>
    </xf>
    <xf numFmtId="2" fontId="130" fillId="92" borderId="107" xfId="7901" applyNumberFormat="1" applyFont="1" applyFill="1" applyBorder="1" applyAlignment="1">
      <alignment horizontal="right"/>
    </xf>
    <xf numFmtId="0" fontId="43" fillId="21" borderId="107" xfId="2075" applyFont="1" applyFill="1" applyBorder="1">
      <alignment horizontal="left" vertical="center" indent="5"/>
    </xf>
    <xf numFmtId="0" fontId="44" fillId="21" borderId="42" xfId="997" applyFill="1" applyBorder="1">
      <alignment horizontal="left" vertical="center"/>
    </xf>
    <xf numFmtId="0" fontId="43" fillId="21" borderId="98" xfId="2075" applyFont="1" applyFill="1" applyBorder="1">
      <alignment horizontal="left" vertical="center" indent="5"/>
    </xf>
    <xf numFmtId="0" fontId="43" fillId="21" borderId="98" xfId="2075" applyFont="1" applyFill="1" applyBorder="1" applyAlignment="1">
      <alignment horizontal="left" vertical="center" indent="2"/>
    </xf>
    <xf numFmtId="0" fontId="43" fillId="21" borderId="98" xfId="7900" applyFill="1" applyBorder="1" applyAlignment="1">
      <alignment horizontal="left" vertical="center" indent="2"/>
    </xf>
    <xf numFmtId="2" fontId="130" fillId="93" borderId="107" xfId="7901" applyNumberFormat="1" applyFont="1" applyFill="1" applyBorder="1" applyAlignment="1">
      <alignment horizontal="right"/>
    </xf>
    <xf numFmtId="0" fontId="43" fillId="21" borderId="107" xfId="2075" applyFont="1" applyFill="1" applyBorder="1" applyAlignment="1">
      <alignment horizontal="left" vertical="center" indent="2"/>
    </xf>
    <xf numFmtId="0" fontId="130" fillId="42" borderId="107" xfId="7901" applyFont="1" applyFill="1" applyBorder="1" applyAlignment="1">
      <alignment horizontal="left" indent="4"/>
    </xf>
    <xf numFmtId="0" fontId="130" fillId="42" borderId="107" xfId="7901" applyFont="1" applyFill="1" applyBorder="1" applyAlignment="1">
      <alignment horizontal="left" indent="6"/>
    </xf>
    <xf numFmtId="0" fontId="132" fillId="2" borderId="0" xfId="3738" applyFont="1" applyFill="1"/>
    <xf numFmtId="0" fontId="42" fillId="2" borderId="0" xfId="3738" applyFont="1" applyFill="1"/>
    <xf numFmtId="2" fontId="14" fillId="0" borderId="0" xfId="0" applyNumberFormat="1" applyFont="1" applyFill="1" applyProtection="1"/>
    <xf numFmtId="0" fontId="11" fillId="0" borderId="0" xfId="975" applyFont="1" applyFill="1" applyBorder="1" applyAlignment="1" applyProtection="1">
      <alignment horizontal="left"/>
      <protection locked="0"/>
    </xf>
    <xf numFmtId="0" fontId="134" fillId="0" borderId="0" xfId="7901" applyFont="1" applyAlignment="1">
      <alignment vertical="center"/>
    </xf>
    <xf numFmtId="0" fontId="3" fillId="0" borderId="0" xfId="7901" applyAlignment="1">
      <alignment vertical="center"/>
    </xf>
    <xf numFmtId="187" fontId="3" fillId="0" borderId="0" xfId="7901" applyNumberFormat="1" applyAlignment="1">
      <alignment vertical="center"/>
    </xf>
    <xf numFmtId="188" fontId="135" fillId="0" borderId="0" xfId="7901" applyNumberFormat="1" applyFont="1" applyAlignment="1">
      <alignment vertical="center"/>
    </xf>
    <xf numFmtId="0" fontId="134" fillId="0" borderId="0" xfId="7901" applyFont="1"/>
    <xf numFmtId="0" fontId="3" fillId="0" borderId="0" xfId="7901"/>
    <xf numFmtId="187" fontId="3" fillId="0" borderId="0" xfId="7901" applyNumberFormat="1"/>
    <xf numFmtId="188" fontId="135" fillId="0" borderId="0" xfId="7901" applyNumberFormat="1" applyFont="1"/>
    <xf numFmtId="0" fontId="136" fillId="0" borderId="90" xfId="7901" applyFont="1" applyBorder="1"/>
    <xf numFmtId="0" fontId="137" fillId="0" borderId="90" xfId="7901" applyFont="1" applyBorder="1" applyAlignment="1">
      <alignment horizontal="center" vertical="center" wrapText="1"/>
    </xf>
    <xf numFmtId="187" fontId="138" fillId="0" borderId="90" xfId="7901" applyNumberFormat="1" applyFont="1" applyBorder="1" applyAlignment="1">
      <alignment horizontal="center" vertical="center" wrapText="1"/>
    </xf>
    <xf numFmtId="0" fontId="137" fillId="0" borderId="0" xfId="7901" applyFont="1"/>
    <xf numFmtId="0" fontId="136" fillId="0" borderId="0" xfId="7901" applyFont="1"/>
    <xf numFmtId="187" fontId="136" fillId="0" borderId="0" xfId="7901" applyNumberFormat="1" applyFont="1"/>
    <xf numFmtId="189" fontId="136" fillId="0" borderId="0" xfId="7901" applyNumberFormat="1" applyFont="1"/>
    <xf numFmtId="0" fontId="139" fillId="0" borderId="0" xfId="7901" applyFont="1"/>
    <xf numFmtId="189" fontId="135" fillId="0" borderId="0" xfId="7901" applyNumberFormat="1" applyFont="1"/>
    <xf numFmtId="189" fontId="3" fillId="0" borderId="0" xfId="7901" applyNumberFormat="1"/>
    <xf numFmtId="0" fontId="137" fillId="0" borderId="0" xfId="7901" quotePrefix="1" applyFont="1"/>
    <xf numFmtId="0" fontId="45" fillId="0" borderId="0" xfId="7901" applyFont="1"/>
    <xf numFmtId="0" fontId="138" fillId="0" borderId="0" xfId="7901" quotePrefix="1" applyFont="1"/>
    <xf numFmtId="0" fontId="11" fillId="0" borderId="0" xfId="7901" applyFont="1"/>
    <xf numFmtId="189" fontId="11" fillId="0" borderId="0" xfId="7901" applyNumberFormat="1" applyFont="1"/>
    <xf numFmtId="188" fontId="140" fillId="0" borderId="0" xfId="7901" applyNumberFormat="1" applyFont="1"/>
    <xf numFmtId="3" fontId="3" fillId="0" borderId="0" xfId="7901" applyNumberFormat="1"/>
    <xf numFmtId="0" fontId="137" fillId="0" borderId="90" xfId="7901" quotePrefix="1" applyFont="1" applyBorder="1"/>
    <xf numFmtId="189" fontId="135" fillId="0" borderId="90" xfId="7901" applyNumberFormat="1" applyFont="1" applyBorder="1"/>
    <xf numFmtId="0" fontId="136" fillId="0" borderId="0" xfId="7901" quotePrefix="1" applyFont="1"/>
    <xf numFmtId="0" fontId="141" fillId="0" borderId="0" xfId="7901" quotePrefix="1" applyFont="1"/>
    <xf numFmtId="0" fontId="135" fillId="0" borderId="0" xfId="7901" applyFont="1" applyAlignment="1">
      <alignment horizontal="left"/>
    </xf>
    <xf numFmtId="190" fontId="134" fillId="0" borderId="0" xfId="2616" applyNumberFormat="1" applyFont="1" applyAlignment="1">
      <alignment vertical="center"/>
    </xf>
    <xf numFmtId="0" fontId="136" fillId="0" borderId="0" xfId="7901" applyFont="1" applyAlignment="1">
      <alignment horizontal="center" vertical="center" wrapText="1"/>
    </xf>
    <xf numFmtId="187" fontId="135" fillId="0" borderId="0" xfId="7901" applyNumberFormat="1" applyFont="1" applyAlignment="1">
      <alignment horizontal="center" vertical="center" wrapText="1"/>
    </xf>
    <xf numFmtId="0" fontId="140" fillId="0" borderId="0" xfId="7901" applyFont="1"/>
    <xf numFmtId="0" fontId="135" fillId="0" borderId="0" xfId="7901" quotePrefix="1" applyFont="1"/>
    <xf numFmtId="0" fontId="142" fillId="0" borderId="0" xfId="7901" applyFont="1"/>
    <xf numFmtId="0" fontId="143" fillId="0" borderId="0" xfId="7901" applyFont="1"/>
    <xf numFmtId="0" fontId="11" fillId="94" borderId="0" xfId="7901" applyFont="1" applyFill="1"/>
    <xf numFmtId="0" fontId="135" fillId="95" borderId="0" xfId="7901" applyFont="1" applyFill="1"/>
    <xf numFmtId="0" fontId="135" fillId="0" borderId="0" xfId="7901" applyFont="1"/>
    <xf numFmtId="188" fontId="45" fillId="96" borderId="0" xfId="7901" applyNumberFormat="1" applyFont="1" applyFill="1"/>
    <xf numFmtId="188" fontId="140" fillId="96" borderId="0" xfId="7901" applyNumberFormat="1" applyFont="1" applyFill="1"/>
    <xf numFmtId="191" fontId="45" fillId="0" borderId="0" xfId="7901" applyNumberFormat="1" applyFont="1"/>
    <xf numFmtId="187" fontId="140" fillId="0" borderId="0" xfId="7901" applyNumberFormat="1" applyFont="1"/>
    <xf numFmtId="191" fontId="11" fillId="0" borderId="0" xfId="7901" applyNumberFormat="1" applyFont="1"/>
    <xf numFmtId="187" fontId="135" fillId="0" borderId="0" xfId="7901" applyNumberFormat="1" applyFont="1"/>
    <xf numFmtId="192" fontId="140" fillId="0" borderId="0" xfId="7901" applyNumberFormat="1" applyFont="1"/>
    <xf numFmtId="187" fontId="11" fillId="0" borderId="0" xfId="7901" applyNumberFormat="1" applyFont="1"/>
    <xf numFmtId="188" fontId="45" fillId="0" borderId="0" xfId="7901" applyNumberFormat="1" applyFont="1"/>
    <xf numFmtId="0" fontId="33" fillId="31" borderId="95" xfId="975" applyFont="1" applyFill="1" applyBorder="1" applyAlignment="1">
      <alignment horizontal="left" vertical="center" wrapText="1"/>
    </xf>
    <xf numFmtId="168" fontId="12" fillId="0" borderId="96" xfId="975" applyNumberFormat="1" applyFont="1" applyFill="1" applyBorder="1" applyAlignment="1">
      <alignment horizontal="center"/>
    </xf>
    <xf numFmtId="0" fontId="84" fillId="31" borderId="93" xfId="991" applyFont="1" applyFill="1" applyBorder="1" applyAlignment="1">
      <alignment horizontal="right" vertical="center" wrapText="1"/>
    </xf>
    <xf numFmtId="0" fontId="11" fillId="0" borderId="0" xfId="0" applyFont="1" applyAlignment="1">
      <alignment horizontal="left"/>
    </xf>
    <xf numFmtId="0" fontId="11" fillId="0" borderId="0" xfId="0" applyFont="1" applyAlignment="1">
      <alignment horizontal="center" vertical="center"/>
    </xf>
    <xf numFmtId="0" fontId="33" fillId="0" borderId="95" xfId="0" applyFont="1" applyBorder="1" applyAlignment="1">
      <alignment horizontal="left" vertical="center" wrapText="1"/>
    </xf>
    <xf numFmtId="0" fontId="11" fillId="44" borderId="0" xfId="0" applyFont="1" applyFill="1" applyAlignment="1">
      <alignment horizontal="center" vertical="center"/>
    </xf>
    <xf numFmtId="173" fontId="11" fillId="0" borderId="0" xfId="0" applyNumberFormat="1" applyFont="1" applyAlignment="1">
      <alignment horizontal="left"/>
    </xf>
    <xf numFmtId="173" fontId="11" fillId="44" borderId="0" xfId="0" applyNumberFormat="1" applyFont="1" applyFill="1" applyAlignment="1">
      <alignment horizontal="left"/>
    </xf>
    <xf numFmtId="169" fontId="0" fillId="0" borderId="0" xfId="0" applyNumberFormat="1"/>
    <xf numFmtId="193" fontId="11" fillId="0" borderId="0" xfId="0" applyNumberFormat="1" applyFont="1" applyAlignment="1">
      <alignment horizontal="left"/>
    </xf>
    <xf numFmtId="0" fontId="0" fillId="0" borderId="0" xfId="0" quotePrefix="1"/>
    <xf numFmtId="2" fontId="0" fillId="0" borderId="0" xfId="0" applyNumberFormat="1"/>
    <xf numFmtId="14" fontId="0" fillId="0" borderId="0" xfId="0" applyNumberFormat="1"/>
    <xf numFmtId="0" fontId="0" fillId="0" borderId="91" xfId="0" applyBorder="1"/>
    <xf numFmtId="0" fontId="11" fillId="0" borderId="90" xfId="0" applyFont="1" applyBorder="1"/>
    <xf numFmtId="9" fontId="0" fillId="0" borderId="90" xfId="1473" applyFont="1" applyBorder="1"/>
    <xf numFmtId="0" fontId="0" fillId="0" borderId="90" xfId="0" applyBorder="1"/>
    <xf numFmtId="0" fontId="0" fillId="0" borderId="92" xfId="0" applyBorder="1"/>
    <xf numFmtId="9" fontId="11" fillId="0" borderId="0" xfId="1473"/>
    <xf numFmtId="2" fontId="11" fillId="0" borderId="0" xfId="0" applyNumberFormat="1" applyFont="1"/>
    <xf numFmtId="0" fontId="11" fillId="0" borderId="17" xfId="0" applyFont="1" applyBorder="1" applyAlignment="1">
      <alignment horizontal="left"/>
    </xf>
    <xf numFmtId="179" fontId="0" fillId="0" borderId="0" xfId="0" applyNumberFormat="1"/>
    <xf numFmtId="0" fontId="11" fillId="0" borderId="91" xfId="0" applyFont="1" applyBorder="1" applyAlignment="1">
      <alignment horizontal="left"/>
    </xf>
    <xf numFmtId="179" fontId="0" fillId="0" borderId="90" xfId="0" applyNumberFormat="1" applyBorder="1"/>
    <xf numFmtId="0" fontId="0" fillId="2" borderId="0" xfId="0" applyFill="1"/>
    <xf numFmtId="0" fontId="82" fillId="37" borderId="0" xfId="983" applyFont="1" applyFill="1"/>
    <xf numFmtId="173" fontId="2" fillId="37" borderId="0" xfId="430" applyNumberFormat="1" applyFont="1" applyFill="1" applyBorder="1"/>
    <xf numFmtId="0" fontId="82" fillId="37" borderId="93" xfId="983" applyFont="1" applyFill="1" applyBorder="1"/>
    <xf numFmtId="0" fontId="65" fillId="37" borderId="93" xfId="983" applyFill="1" applyBorder="1"/>
    <xf numFmtId="0" fontId="2" fillId="37" borderId="93" xfId="983" applyFont="1" applyFill="1" applyBorder="1"/>
    <xf numFmtId="173" fontId="2" fillId="37" borderId="93" xfId="430" applyNumberFormat="1" applyFont="1" applyFill="1" applyBorder="1"/>
    <xf numFmtId="173" fontId="145" fillId="37" borderId="93" xfId="430" applyNumberFormat="1" applyFont="1" applyFill="1" applyBorder="1"/>
    <xf numFmtId="173" fontId="146" fillId="37" borderId="93" xfId="430" applyNumberFormat="1" applyFont="1" applyFill="1" applyBorder="1"/>
    <xf numFmtId="0" fontId="65" fillId="37" borderId="0" xfId="983" applyFill="1"/>
    <xf numFmtId="0" fontId="2" fillId="37" borderId="0" xfId="983" applyFont="1" applyFill="1"/>
    <xf numFmtId="173" fontId="145" fillId="37" borderId="0" xfId="430" applyNumberFormat="1" applyFont="1" applyFill="1" applyBorder="1"/>
    <xf numFmtId="173" fontId="146" fillId="37" borderId="95" xfId="430" applyNumberFormat="1" applyFont="1" applyFill="1" applyBorder="1"/>
    <xf numFmtId="0" fontId="147" fillId="0" borderId="0" xfId="0" applyFont="1"/>
    <xf numFmtId="173" fontId="146" fillId="37" borderId="0" xfId="430" applyNumberFormat="1" applyFont="1" applyFill="1" applyBorder="1"/>
    <xf numFmtId="0" fontId="82" fillId="37" borderId="96" xfId="983" applyFont="1" applyFill="1" applyBorder="1"/>
    <xf numFmtId="0" fontId="65" fillId="37" borderId="96" xfId="983" applyFill="1" applyBorder="1"/>
    <xf numFmtId="0" fontId="2" fillId="37" borderId="96" xfId="983" applyFont="1" applyFill="1" applyBorder="1"/>
    <xf numFmtId="173" fontId="2" fillId="37" borderId="96" xfId="430" applyNumberFormat="1" applyFont="1" applyFill="1" applyBorder="1"/>
    <xf numFmtId="173" fontId="145" fillId="37" borderId="96" xfId="430" applyNumberFormat="1" applyFont="1" applyFill="1" applyBorder="1"/>
    <xf numFmtId="173" fontId="146" fillId="37" borderId="96" xfId="430" applyNumberFormat="1" applyFont="1" applyFill="1" applyBorder="1"/>
    <xf numFmtId="0" fontId="11" fillId="2" borderId="0" xfId="0" applyFont="1" applyFill="1"/>
    <xf numFmtId="0" fontId="148" fillId="0" borderId="0" xfId="420" applyFont="1" applyAlignment="1">
      <alignment horizontal="center"/>
    </xf>
    <xf numFmtId="169" fontId="0" fillId="0" borderId="0" xfId="0" applyNumberFormat="1" applyAlignment="1">
      <alignment horizontal="center"/>
    </xf>
    <xf numFmtId="169" fontId="149" fillId="40" borderId="80" xfId="1467" applyNumberFormat="1" applyFont="1" applyAlignment="1">
      <alignment horizontal="center"/>
    </xf>
    <xf numFmtId="0" fontId="150" fillId="97" borderId="0" xfId="0" applyFont="1" applyFill="1" applyAlignment="1">
      <alignment horizontal="left"/>
    </xf>
    <xf numFmtId="0" fontId="150" fillId="97" borderId="0" xfId="0" applyFont="1" applyFill="1" applyAlignment="1">
      <alignment horizontal="center"/>
    </xf>
    <xf numFmtId="0" fontId="151" fillId="89" borderId="107" xfId="0" applyFont="1" applyFill="1" applyBorder="1" applyAlignment="1">
      <alignment horizontal="center" wrapText="1"/>
    </xf>
    <xf numFmtId="0" fontId="151" fillId="89" borderId="107" xfId="0" applyFont="1" applyFill="1" applyBorder="1" applyAlignment="1">
      <alignment horizontal="center" vertical="top"/>
    </xf>
    <xf numFmtId="0" fontId="151" fillId="89" borderId="107" xfId="0" applyFont="1" applyFill="1" applyBorder="1" applyAlignment="1">
      <alignment horizontal="center" vertical="top" wrapText="1"/>
    </xf>
    <xf numFmtId="0" fontId="152" fillId="0" borderId="107" xfId="0" applyFont="1" applyBorder="1" applyAlignment="1">
      <alignment horizontal="left"/>
    </xf>
    <xf numFmtId="169" fontId="152" fillId="0" borderId="107" xfId="0" applyNumberFormat="1" applyFont="1" applyBorder="1" applyAlignment="1">
      <alignment horizontal="center"/>
    </xf>
    <xf numFmtId="0" fontId="123" fillId="0" borderId="0" xfId="0" applyFont="1" applyAlignment="1">
      <alignment horizontal="left"/>
    </xf>
    <xf numFmtId="0" fontId="153" fillId="0" borderId="0" xfId="0" applyFont="1"/>
    <xf numFmtId="0" fontId="151" fillId="89" borderId="107" xfId="0" applyFont="1" applyFill="1" applyBorder="1" applyAlignment="1">
      <alignmen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151" fillId="89" borderId="99" xfId="0" applyFont="1" applyFill="1" applyBorder="1" applyAlignment="1">
      <alignment horizontal="center" vertical="top"/>
    </xf>
    <xf numFmtId="0" fontId="154" fillId="98" borderId="107" xfId="0" applyFont="1" applyFill="1" applyBorder="1" applyAlignment="1">
      <alignment horizontal="center" vertical="top"/>
    </xf>
    <xf numFmtId="2" fontId="152" fillId="0" borderId="107" xfId="0" applyNumberFormat="1" applyFont="1" applyBorder="1" applyAlignment="1">
      <alignment horizontal="center"/>
    </xf>
    <xf numFmtId="169" fontId="155" fillId="0" borderId="38" xfId="0" applyNumberFormat="1" applyFont="1" applyBorder="1" applyAlignment="1">
      <alignment horizontal="center"/>
    </xf>
    <xf numFmtId="169" fontId="155" fillId="0" borderId="107" xfId="0" applyNumberFormat="1" applyFont="1" applyBorder="1" applyAlignment="1">
      <alignment horizontal="center"/>
    </xf>
    <xf numFmtId="169" fontId="155" fillId="0" borderId="108" xfId="0" applyNumberFormat="1" applyFont="1" applyBorder="1" applyAlignment="1">
      <alignment horizontal="center"/>
    </xf>
    <xf numFmtId="9" fontId="11" fillId="44" borderId="0" xfId="1473" applyFont="1" applyFill="1" applyBorder="1"/>
    <xf numFmtId="0" fontId="156" fillId="37" borderId="0" xfId="0" applyFont="1" applyFill="1"/>
    <xf numFmtId="0" fontId="0" fillId="0" borderId="0" xfId="0" applyAlignment="1">
      <alignment horizontal="center" vertical="top" wrapText="1"/>
    </xf>
    <xf numFmtId="0" fontId="82" fillId="54" borderId="107" xfId="0" applyFont="1" applyFill="1" applyBorder="1" applyAlignment="1">
      <alignment vertical="top" wrapText="1"/>
    </xf>
    <xf numFmtId="0" fontId="82" fillId="54" borderId="107" xfId="0" applyFont="1" applyFill="1" applyBorder="1" applyAlignment="1">
      <alignment horizontal="center" vertical="top" wrapText="1"/>
    </xf>
    <xf numFmtId="0" fontId="0" fillId="0" borderId="107" xfId="0" applyBorder="1" applyAlignment="1">
      <alignment horizontal="left"/>
    </xf>
    <xf numFmtId="0" fontId="96" fillId="0" borderId="107" xfId="0" applyFont="1" applyBorder="1" applyAlignment="1">
      <alignment vertical="top"/>
    </xf>
    <xf numFmtId="1" fontId="0" fillId="0" borderId="107" xfId="0" applyNumberFormat="1" applyBorder="1" applyAlignment="1">
      <alignment horizontal="center"/>
    </xf>
    <xf numFmtId="1" fontId="96" fillId="0" borderId="107" xfId="0" applyNumberFormat="1" applyFont="1" applyBorder="1" applyAlignment="1">
      <alignment horizontal="center" vertical="top"/>
    </xf>
    <xf numFmtId="0" fontId="0" fillId="0" borderId="107" xfId="0" applyBorder="1"/>
    <xf numFmtId="0" fontId="1" fillId="0" borderId="0" xfId="2005" applyFont="1"/>
    <xf numFmtId="0" fontId="144" fillId="0" borderId="0" xfId="0" applyFont="1" applyAlignment="1">
      <alignment horizontal="center"/>
    </xf>
    <xf numFmtId="0" fontId="151" fillId="89" borderId="107" xfId="0" applyFont="1" applyFill="1" applyBorder="1" applyAlignment="1">
      <alignment horizontal="lef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133" fillId="2" borderId="0" xfId="7900" applyFont="1" applyFill="1" applyAlignment="1">
      <alignment horizontal="left" vertical="top" wrapText="1"/>
    </xf>
    <xf numFmtId="0" fontId="43" fillId="2" borderId="0" xfId="3738" applyFont="1" applyFill="1" applyAlignment="1">
      <alignment horizontal="left" vertical="top" wrapText="1"/>
    </xf>
    <xf numFmtId="0" fontId="126" fillId="2" borderId="68" xfId="7898" applyFill="1" applyBorder="1" applyAlignment="1">
      <alignment horizontal="left"/>
    </xf>
    <xf numFmtId="0" fontId="126" fillId="2" borderId="66" xfId="7898" applyFill="1" applyBorder="1" applyAlignment="1">
      <alignment horizontal="left"/>
    </xf>
    <xf numFmtId="0" fontId="44" fillId="21" borderId="97" xfId="7900" applyFont="1" applyFill="1" applyBorder="1" applyAlignment="1">
      <alignment horizontal="left" vertical="top"/>
    </xf>
    <xf numFmtId="0" fontId="44" fillId="21" borderId="18" xfId="7900" applyFont="1" applyFill="1" applyBorder="1" applyAlignment="1">
      <alignment horizontal="left" vertical="top"/>
    </xf>
    <xf numFmtId="0" fontId="44" fillId="21" borderId="102" xfId="7900" applyFont="1" applyFill="1" applyBorder="1" applyAlignment="1">
      <alignment horizontal="left" vertical="top"/>
    </xf>
    <xf numFmtId="0" fontId="44" fillId="21" borderId="98" xfId="7900" applyFont="1" applyFill="1" applyBorder="1" applyAlignment="1">
      <alignment horizontal="center" vertical="center"/>
    </xf>
    <xf numFmtId="0" fontId="43" fillId="2" borderId="99" xfId="3738" applyFont="1" applyFill="1" applyBorder="1" applyAlignment="1">
      <alignment horizontal="center" vertical="center"/>
    </xf>
    <xf numFmtId="0" fontId="44" fillId="21" borderId="93" xfId="7900" applyFont="1" applyFill="1" applyBorder="1" applyAlignment="1">
      <alignment horizontal="center" vertical="center"/>
    </xf>
    <xf numFmtId="0" fontId="44" fillId="21" borderId="99" xfId="7900" applyFont="1" applyFill="1" applyBorder="1" applyAlignment="1">
      <alignment horizontal="center" vertical="center"/>
    </xf>
    <xf numFmtId="0" fontId="43" fillId="2" borderId="93" xfId="3738" applyFont="1" applyFill="1" applyBorder="1" applyAlignment="1">
      <alignment horizontal="center" vertical="center"/>
    </xf>
    <xf numFmtId="0" fontId="44" fillId="21" borderId="100" xfId="7900" applyFont="1" applyFill="1" applyBorder="1" applyAlignment="1">
      <alignment horizontal="center" vertical="center"/>
    </xf>
    <xf numFmtId="0" fontId="44" fillId="21" borderId="101" xfId="7900" applyFont="1" applyFill="1" applyBorder="1" applyAlignment="1">
      <alignment horizontal="center" vertical="center"/>
    </xf>
    <xf numFmtId="0" fontId="44" fillId="21" borderId="34" xfId="7900" applyFont="1" applyFill="1" applyBorder="1" applyAlignment="1">
      <alignment horizontal="center" vertical="center"/>
    </xf>
    <xf numFmtId="0" fontId="44" fillId="21" borderId="16" xfId="7900" applyFont="1" applyFill="1" applyBorder="1" applyAlignment="1">
      <alignment horizontal="center" vertical="center"/>
    </xf>
    <xf numFmtId="0" fontId="44" fillId="21" borderId="97" xfId="7900" applyFont="1" applyFill="1" applyBorder="1" applyAlignment="1">
      <alignment horizontal="center" vertical="center"/>
    </xf>
    <xf numFmtId="0" fontId="44" fillId="21" borderId="42" xfId="7900" applyFont="1" applyFill="1" applyBorder="1" applyAlignment="1">
      <alignment horizontal="center" vertical="center"/>
    </xf>
    <xf numFmtId="0" fontId="43" fillId="2" borderId="42" xfId="3738" applyFont="1" applyFill="1" applyBorder="1" applyAlignment="1">
      <alignment horizontal="center" vertical="center"/>
    </xf>
    <xf numFmtId="0" fontId="44" fillId="21" borderId="105" xfId="7900" applyFont="1" applyFill="1" applyBorder="1" applyAlignment="1">
      <alignment horizontal="center" vertical="center"/>
    </xf>
    <xf numFmtId="0" fontId="44" fillId="21" borderId="103" xfId="7900" applyFont="1" applyFill="1" applyBorder="1" applyAlignment="1">
      <alignment horizontal="center" vertical="center"/>
    </xf>
    <xf numFmtId="0" fontId="43" fillId="2" borderId="106" xfId="3738" applyFont="1" applyFill="1" applyBorder="1" applyAlignment="1">
      <alignment horizontal="center" vertical="center"/>
    </xf>
    <xf numFmtId="0" fontId="43" fillId="2" borderId="103" xfId="3738" applyFont="1" applyFill="1" applyBorder="1" applyAlignment="1">
      <alignment horizontal="center" vertical="center"/>
    </xf>
    <xf numFmtId="0" fontId="133" fillId="2" borderId="0" xfId="7900" applyFont="1" applyFill="1" applyAlignment="1">
      <alignment horizontal="left"/>
    </xf>
  </cellXfs>
  <cellStyles count="7902">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3" xfId="6774" xr:uid="{00000000-0005-0000-0000-000008000000}"/>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3" xfId="6773" xr:uid="{00000000-0005-0000-0000-00000C000000}"/>
    <cellStyle name="20 % - Markeringsfarve1 2 4" xfId="4230" xr:uid="{00000000-0005-0000-0000-00000D000000}"/>
    <cellStyle name="20 % - Markeringsfarve1 2 4 2" xfId="7398" xr:uid="{00000000-0005-0000-0000-00000E000000}"/>
    <cellStyle name="20 % - Markeringsfarve1 2 5" xfId="6775" xr:uid="{00000000-0005-0000-0000-00000F000000}"/>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3" xfId="6718" xr:uid="{00000000-0005-0000-0000-000014000000}"/>
    <cellStyle name="20 % - Markeringsfarve1 3 3" xfId="4227" xr:uid="{00000000-0005-0000-0000-000015000000}"/>
    <cellStyle name="20 % - Markeringsfarve1 3 3 2" xfId="7395" xr:uid="{00000000-0005-0000-0000-000016000000}"/>
    <cellStyle name="20 % - Markeringsfarve1 3 4" xfId="6772" xr:uid="{00000000-0005-0000-0000-000017000000}"/>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3" xfId="6771" xr:uid="{00000000-0005-0000-0000-00001B000000}"/>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3" xfId="6720" xr:uid="{00000000-0005-0000-0000-00001F000000}"/>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3" xfId="6716" xr:uid="{00000000-0005-0000-0000-000023000000}"/>
    <cellStyle name="20 % - Markeringsfarve1 7" xfId="4159" xr:uid="{00000000-0005-0000-0000-000024000000}"/>
    <cellStyle name="20 % - Markeringsfarve1 7 2" xfId="7327" xr:uid="{00000000-0005-0000-0000-000025000000}"/>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3" xfId="6719" xr:uid="{00000000-0005-0000-0000-00002A000000}"/>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3" xfId="6717" xr:uid="{00000000-0005-0000-0000-00002E000000}"/>
    <cellStyle name="20 % - Markeringsfarve2 2 4" xfId="4225" xr:uid="{00000000-0005-0000-0000-00002F000000}"/>
    <cellStyle name="20 % - Markeringsfarve2 2 4 2" xfId="7393" xr:uid="{00000000-0005-0000-0000-000030000000}"/>
    <cellStyle name="20 % - Markeringsfarve2 2 5" xfId="6770" xr:uid="{00000000-0005-0000-0000-000031000000}"/>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3" xfId="6769" xr:uid="{00000000-0005-0000-0000-000035000000}"/>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3" xfId="6768" xr:uid="{00000000-0005-0000-0000-000039000000}"/>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3" xfId="6767" xr:uid="{00000000-0005-0000-0000-00003D000000}"/>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3" xfId="6766" xr:uid="{00000000-0005-0000-0000-000041000000}"/>
    <cellStyle name="20 % - Markeringsfarve2 7" xfId="4161" xr:uid="{00000000-0005-0000-0000-000042000000}"/>
    <cellStyle name="20 % - Markeringsfarve2 7 2" xfId="7329" xr:uid="{00000000-0005-0000-0000-000043000000}"/>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3" xfId="6764" xr:uid="{00000000-0005-0000-0000-000048000000}"/>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3" xfId="6763" xr:uid="{00000000-0005-0000-0000-00004C000000}"/>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3" xfId="6762" xr:uid="{00000000-0005-0000-0000-000050000000}"/>
    <cellStyle name="20 % - Markeringsfarve3 2 5" xfId="4220" xr:uid="{00000000-0005-0000-0000-000051000000}"/>
    <cellStyle name="20 % - Markeringsfarve3 2 5 2" xfId="7388" xr:uid="{00000000-0005-0000-0000-000052000000}"/>
    <cellStyle name="20 % - Markeringsfarve3 2 6" xfId="6765" xr:uid="{00000000-0005-0000-0000-000053000000}"/>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3" xfId="6761" xr:uid="{00000000-0005-0000-0000-000057000000}"/>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3" xfId="6760" xr:uid="{00000000-0005-0000-0000-00005B000000}"/>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3" xfId="6759" xr:uid="{00000000-0005-0000-0000-00005F000000}"/>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3" xfId="6758" xr:uid="{00000000-0005-0000-0000-000063000000}"/>
    <cellStyle name="20 % - Markeringsfarve3 7" xfId="4163" xr:uid="{00000000-0005-0000-0000-000064000000}"/>
    <cellStyle name="20 % - Markeringsfarve3 7 2" xfId="7331" xr:uid="{00000000-0005-0000-0000-000065000000}"/>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3" xfId="6756" xr:uid="{00000000-0005-0000-0000-00006A000000}"/>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3" xfId="6755" xr:uid="{00000000-0005-0000-0000-00006E000000}"/>
    <cellStyle name="20 % - Markeringsfarve4 2 4" xfId="4212" xr:uid="{00000000-0005-0000-0000-00006F000000}"/>
    <cellStyle name="20 % - Markeringsfarve4 2 4 2" xfId="7380" xr:uid="{00000000-0005-0000-0000-000070000000}"/>
    <cellStyle name="20 % - Markeringsfarve4 2 5" xfId="6757" xr:uid="{00000000-0005-0000-0000-000071000000}"/>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3" xfId="6754" xr:uid="{00000000-0005-0000-0000-000075000000}"/>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3" xfId="6753" xr:uid="{00000000-0005-0000-0000-00007900000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3" xfId="6752" xr:uid="{00000000-0005-0000-0000-00007D000000}"/>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3" xfId="6751" xr:uid="{00000000-0005-0000-0000-000081000000}"/>
    <cellStyle name="20 % - Markeringsfarve4 7" xfId="4165" xr:uid="{00000000-0005-0000-0000-000082000000}"/>
    <cellStyle name="20 % - Markeringsfarve4 7 2" xfId="7333" xr:uid="{00000000-0005-0000-0000-000083000000}"/>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3" xfId="6749" xr:uid="{00000000-0005-0000-0000-000088000000}"/>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3" xfId="6748" xr:uid="{00000000-0005-0000-0000-00008C000000}"/>
    <cellStyle name="20 % - Markeringsfarve5 2 4" xfId="4205" xr:uid="{00000000-0005-0000-0000-00008D000000}"/>
    <cellStyle name="20 % - Markeringsfarve5 2 4 2" xfId="7373" xr:uid="{00000000-0005-0000-0000-00008E000000}"/>
    <cellStyle name="20 % - Markeringsfarve5 2 5" xfId="6750" xr:uid="{00000000-0005-0000-0000-00008F000000}"/>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3" xfId="6747" xr:uid="{00000000-0005-0000-0000-000093000000}"/>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3" xfId="6746" xr:uid="{00000000-0005-0000-0000-000097000000}"/>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3" xfId="6745" xr:uid="{00000000-0005-0000-0000-00009B000000}"/>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3" xfId="6744" xr:uid="{00000000-0005-0000-0000-00009F000000}"/>
    <cellStyle name="20 % - Markeringsfarve5 7" xfId="4167" xr:uid="{00000000-0005-0000-0000-0000A0000000}"/>
    <cellStyle name="20 % - Markeringsfarve5 7 2" xfId="7335" xr:uid="{00000000-0005-0000-0000-0000A1000000}"/>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3" xfId="6742" xr:uid="{00000000-0005-0000-0000-0000A6000000}"/>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3" xfId="6741" xr:uid="{00000000-0005-0000-0000-0000AA000000}"/>
    <cellStyle name="20 % - Markeringsfarve6 2 4" xfId="4198" xr:uid="{00000000-0005-0000-0000-0000AB000000}"/>
    <cellStyle name="20 % - Markeringsfarve6 2 4 2" xfId="7366" xr:uid="{00000000-0005-0000-0000-0000AC000000}"/>
    <cellStyle name="20 % - Markeringsfarve6 2 5" xfId="6743" xr:uid="{00000000-0005-0000-0000-0000AD000000}"/>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3" xfId="6740" xr:uid="{00000000-0005-0000-0000-0000B1000000}"/>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3" xfId="6739" xr:uid="{00000000-0005-0000-0000-0000B5000000}"/>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3" xfId="6738" xr:uid="{00000000-0005-0000-0000-0000B9000000}"/>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3" xfId="6737" xr:uid="{00000000-0005-0000-0000-0000BD000000}"/>
    <cellStyle name="20 % - Markeringsfarve6 7" xfId="4169" xr:uid="{00000000-0005-0000-0000-0000BE000000}"/>
    <cellStyle name="20 % - Markeringsfarve6 7 2" xfId="7337" xr:uid="{00000000-0005-0000-0000-0000BF000000}"/>
    <cellStyle name="20% - Accent1" xfId="3339" builtinId="30" customBuiltin="1"/>
    <cellStyle name="20% - Accent1 2" xfId="3390" xr:uid="{00000000-0005-0000-0000-0000C1000000}"/>
    <cellStyle name="20% - Accent1 3" xfId="6634" xr:uid="{00000000-0005-0000-0000-0000C2000000}"/>
    <cellStyle name="20% - Accent2" xfId="3343" builtinId="34" customBuiltin="1"/>
    <cellStyle name="20% - Accent2 2" xfId="3391" xr:uid="{00000000-0005-0000-0000-0000C4000000}"/>
    <cellStyle name="20% - Accent2 3" xfId="6636" xr:uid="{00000000-0005-0000-0000-0000C5000000}"/>
    <cellStyle name="20% - Accent3" xfId="3347" builtinId="38" customBuiltin="1"/>
    <cellStyle name="20% - Accent3 2" xfId="3392" xr:uid="{00000000-0005-0000-0000-0000C7000000}"/>
    <cellStyle name="20% - Accent3 3" xfId="6638" xr:uid="{00000000-0005-0000-0000-0000C8000000}"/>
    <cellStyle name="20% - Accent4" xfId="3351" builtinId="42" customBuiltin="1"/>
    <cellStyle name="20% - Accent4 2" xfId="3393" xr:uid="{00000000-0005-0000-0000-0000CA000000}"/>
    <cellStyle name="20% - Accent4 3" xfId="6640" xr:uid="{00000000-0005-0000-0000-0000CB000000}"/>
    <cellStyle name="20% - Accent5" xfId="3355" builtinId="46" customBuiltin="1"/>
    <cellStyle name="20% - Accent5 2" xfId="3394" xr:uid="{00000000-0005-0000-0000-0000CD000000}"/>
    <cellStyle name="20% - Accent5 3" xfId="6642" xr:uid="{00000000-0005-0000-0000-0000CE000000}"/>
    <cellStyle name="20% - Accent6" xfId="3359" builtinId="50" customBuiltin="1"/>
    <cellStyle name="20% - Accent6 2" xfId="3395" xr:uid="{00000000-0005-0000-0000-0000D0000000}"/>
    <cellStyle name="20% - Accent6 3" xfId="6644" xr:uid="{00000000-0005-0000-0000-0000D1000000}"/>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3" xfId="6735" xr:uid="{00000000-0005-0000-0000-0000DC000000}"/>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3" xfId="6734" xr:uid="{00000000-0005-0000-0000-0000E0000000}"/>
    <cellStyle name="40 % - Markeringsfarve1 2 4" xfId="4191" xr:uid="{00000000-0005-0000-0000-0000E1000000}"/>
    <cellStyle name="40 % - Markeringsfarve1 2 4 2" xfId="7359" xr:uid="{00000000-0005-0000-0000-0000E2000000}"/>
    <cellStyle name="40 % - Markeringsfarve1 2 5" xfId="6736" xr:uid="{00000000-0005-0000-0000-0000E3000000}"/>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3" xfId="6733" xr:uid="{00000000-0005-0000-0000-0000E7000000}"/>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3" xfId="6732" xr:uid="{00000000-0005-0000-0000-0000EB000000}"/>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3" xfId="6731" xr:uid="{00000000-0005-0000-0000-0000EF000000}"/>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3" xfId="6730" xr:uid="{00000000-0005-0000-0000-0000F3000000}"/>
    <cellStyle name="40 % - Markeringsfarve1 7" xfId="4160" xr:uid="{00000000-0005-0000-0000-0000F4000000}"/>
    <cellStyle name="40 % - Markeringsfarve1 7 2" xfId="7328" xr:uid="{00000000-0005-0000-0000-0000F5000000}"/>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3" xfId="6728" xr:uid="{00000000-0005-0000-0000-0000FA000000}"/>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3" xfId="6727" xr:uid="{00000000-0005-0000-0000-0000FE000000}"/>
    <cellStyle name="40 % - Markeringsfarve2 2 4" xfId="4184" xr:uid="{00000000-0005-0000-0000-0000FF000000}"/>
    <cellStyle name="40 % - Markeringsfarve2 2 4 2" xfId="7352" xr:uid="{00000000-0005-0000-0000-000000010000}"/>
    <cellStyle name="40 % - Markeringsfarve2 2 5" xfId="6729" xr:uid="{00000000-0005-0000-0000-000001010000}"/>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3" xfId="6726" xr:uid="{00000000-0005-0000-0000-000005010000}"/>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3" xfId="6725" xr:uid="{00000000-0005-0000-0000-000009010000}"/>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3" xfId="6724" xr:uid="{00000000-0005-0000-0000-00000D010000}"/>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3" xfId="6723" xr:uid="{00000000-0005-0000-0000-000011010000}"/>
    <cellStyle name="40 % - Markeringsfarve2 7" xfId="4162" xr:uid="{00000000-0005-0000-0000-000012010000}"/>
    <cellStyle name="40 % - Markeringsfarve2 7 2" xfId="7330" xr:uid="{00000000-0005-0000-0000-000013010000}"/>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3" xfId="6721" xr:uid="{00000000-0005-0000-0000-000018010000}"/>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3" xfId="6776" xr:uid="{00000000-0005-0000-0000-00001C010000}"/>
    <cellStyle name="40 % - Markeringsfarve3 2 4" xfId="4177" xr:uid="{00000000-0005-0000-0000-00001D010000}"/>
    <cellStyle name="40 % - Markeringsfarve3 2 4 2" xfId="7345" xr:uid="{00000000-0005-0000-0000-00001E010000}"/>
    <cellStyle name="40 % - Markeringsfarve3 2 5" xfId="6722" xr:uid="{00000000-0005-0000-0000-00001F010000}"/>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3" xfId="6777" xr:uid="{00000000-0005-0000-0000-000023010000}"/>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3" xfId="6778" xr:uid="{00000000-0005-0000-0000-000027010000}"/>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3" xfId="6779" xr:uid="{00000000-0005-0000-0000-00002B010000}"/>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3" xfId="6780" xr:uid="{00000000-0005-0000-0000-00002F010000}"/>
    <cellStyle name="40 % - Markeringsfarve3 7" xfId="4164" xr:uid="{00000000-0005-0000-0000-000030010000}"/>
    <cellStyle name="40 % - Markeringsfarve3 7 2" xfId="7332" xr:uid="{00000000-0005-0000-0000-000031010000}"/>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3" xfId="6782" xr:uid="{00000000-0005-0000-0000-000036010000}"/>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3" xfId="6783" xr:uid="{00000000-0005-0000-0000-00003A010000}"/>
    <cellStyle name="40 % - Markeringsfarve4 2 4" xfId="4236" xr:uid="{00000000-0005-0000-0000-00003B010000}"/>
    <cellStyle name="40 % - Markeringsfarve4 2 4 2" xfId="7404" xr:uid="{00000000-0005-0000-0000-00003C010000}"/>
    <cellStyle name="40 % - Markeringsfarve4 2 5" xfId="6781" xr:uid="{00000000-0005-0000-0000-00003D010000}"/>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3" xfId="6784" xr:uid="{00000000-0005-0000-0000-000041010000}"/>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3" xfId="6785" xr:uid="{00000000-0005-0000-0000-000045010000}"/>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3" xfId="6786" xr:uid="{00000000-0005-0000-0000-000049010000}"/>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3" xfId="6787" xr:uid="{00000000-0005-0000-0000-00004D010000}"/>
    <cellStyle name="40 % - Markeringsfarve4 7" xfId="4166" xr:uid="{00000000-0005-0000-0000-00004E010000}"/>
    <cellStyle name="40 % - Markeringsfarve4 7 2" xfId="7334" xr:uid="{00000000-0005-0000-0000-00004F010000}"/>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3" xfId="6789" xr:uid="{00000000-0005-0000-0000-000054010000}"/>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3" xfId="6790" xr:uid="{00000000-0005-0000-0000-000058010000}"/>
    <cellStyle name="40 % - Markeringsfarve5 2 4" xfId="4243" xr:uid="{00000000-0005-0000-0000-000059010000}"/>
    <cellStyle name="40 % - Markeringsfarve5 2 4 2" xfId="7411" xr:uid="{00000000-0005-0000-0000-00005A010000}"/>
    <cellStyle name="40 % - Markeringsfarve5 2 5" xfId="6788" xr:uid="{00000000-0005-0000-0000-00005B010000}"/>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3" xfId="6791" xr:uid="{00000000-0005-0000-0000-00005F010000}"/>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3" xfId="6792" xr:uid="{00000000-0005-0000-0000-000063010000}"/>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3" xfId="6793" xr:uid="{00000000-0005-0000-0000-000067010000}"/>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3" xfId="6794" xr:uid="{00000000-0005-0000-0000-00006B010000}"/>
    <cellStyle name="40 % - Markeringsfarve5 7" xfId="4168" xr:uid="{00000000-0005-0000-0000-00006C010000}"/>
    <cellStyle name="40 % - Markeringsfarve5 7 2" xfId="7336" xr:uid="{00000000-0005-0000-0000-00006D010000}"/>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3" xfId="6796" xr:uid="{00000000-0005-0000-0000-000072010000}"/>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3" xfId="6797" xr:uid="{00000000-0005-0000-0000-000076010000}"/>
    <cellStyle name="40 % - Markeringsfarve6 2 4" xfId="4250" xr:uid="{00000000-0005-0000-0000-000077010000}"/>
    <cellStyle name="40 % - Markeringsfarve6 2 4 2" xfId="7418" xr:uid="{00000000-0005-0000-0000-000078010000}"/>
    <cellStyle name="40 % - Markeringsfarve6 2 5" xfId="6795" xr:uid="{00000000-0005-0000-0000-000079010000}"/>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3" xfId="6798" xr:uid="{00000000-0005-0000-0000-00007D010000}"/>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3" xfId="6799" xr:uid="{00000000-0005-0000-0000-000081010000}"/>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3" xfId="6800" xr:uid="{00000000-0005-0000-0000-000085010000}"/>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3" xfId="6801" xr:uid="{00000000-0005-0000-0000-000089010000}"/>
    <cellStyle name="40 % - Markeringsfarve6 7" xfId="4170" xr:uid="{00000000-0005-0000-0000-00008A010000}"/>
    <cellStyle name="40 % - Markeringsfarve6 7 2" xfId="7338" xr:uid="{00000000-0005-0000-0000-00008B010000}"/>
    <cellStyle name="40% - Accent1" xfId="3340" builtinId="31" customBuiltin="1"/>
    <cellStyle name="40% - Accent1 2" xfId="3396" xr:uid="{00000000-0005-0000-0000-00008D010000}"/>
    <cellStyle name="40% - Accent1 3" xfId="6635" xr:uid="{00000000-0005-0000-0000-00008E010000}"/>
    <cellStyle name="40% - Accent2" xfId="3344" builtinId="35" customBuiltin="1"/>
    <cellStyle name="40% - Accent2 2" xfId="3397" xr:uid="{00000000-0005-0000-0000-000090010000}"/>
    <cellStyle name="40% - Accent2 3" xfId="6637" xr:uid="{00000000-0005-0000-0000-000091010000}"/>
    <cellStyle name="40% - Accent3" xfId="3348" builtinId="39" customBuiltin="1"/>
    <cellStyle name="40% - Accent3 2" xfId="3398" xr:uid="{00000000-0005-0000-0000-000093010000}"/>
    <cellStyle name="40% - Accent3 3" xfId="6639" xr:uid="{00000000-0005-0000-0000-000094010000}"/>
    <cellStyle name="40% - Accent4" xfId="3352" builtinId="43" customBuiltin="1"/>
    <cellStyle name="40% - Accent4 2" xfId="3399" xr:uid="{00000000-0005-0000-0000-000096010000}"/>
    <cellStyle name="40% - Accent4 3" xfId="6641" xr:uid="{00000000-0005-0000-0000-000097010000}"/>
    <cellStyle name="40% - Accent5" xfId="3356" builtinId="47" customBuiltin="1"/>
    <cellStyle name="40% - Accent5 2" xfId="3400" xr:uid="{00000000-0005-0000-0000-000099010000}"/>
    <cellStyle name="40% - Accent5 3" xfId="6643" xr:uid="{00000000-0005-0000-0000-00009A010000}"/>
    <cellStyle name="40% - Accent6" xfId="3360" builtinId="51" customBuiltin="1"/>
    <cellStyle name="40% - Accent6 2" xfId="3401" xr:uid="{00000000-0005-0000-0000-00009C010000}"/>
    <cellStyle name="40% - Accent6 3" xfId="6645" xr:uid="{00000000-0005-0000-0000-00009D010000}"/>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Accent1" xfId="3341" builtinId="32" customBuiltin="1"/>
    <cellStyle name="60% - Accent1 2" xfId="3402" xr:uid="{00000000-0005-0000-0000-0000A7010000}"/>
    <cellStyle name="60% - Accent2" xfId="3345" builtinId="36" customBuiltin="1"/>
    <cellStyle name="60% - Accent2 2" xfId="3403" xr:uid="{00000000-0005-0000-0000-0000A9010000}"/>
    <cellStyle name="60% - Accent3" xfId="3349" builtinId="40" customBuiltin="1"/>
    <cellStyle name="60% - Accent3 2" xfId="3404" xr:uid="{00000000-0005-0000-0000-0000AB010000}"/>
    <cellStyle name="60% - Accent4" xfId="3353" builtinId="44" customBuiltin="1"/>
    <cellStyle name="60% - Accent4 2" xfId="3405" xr:uid="{00000000-0005-0000-0000-0000AD010000}"/>
    <cellStyle name="60% - Accent5" xfId="3357" builtinId="48" customBuiltin="1"/>
    <cellStyle name="60% - Accent5 2" xfId="3406" xr:uid="{00000000-0005-0000-0000-0000AF010000}"/>
    <cellStyle name="60% - Accent6" xfId="3361" builtinId="52" customBuiltin="1"/>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xfId="3338" builtinId="29" customBuiltin="1"/>
    <cellStyle name="Accent1 2" xfId="3408" xr:uid="{00000000-0005-0000-0000-0000B9010000}"/>
    <cellStyle name="Accent2" xfId="3342" builtinId="33" customBuiltin="1"/>
    <cellStyle name="Accent2 2" xfId="3409" xr:uid="{00000000-0005-0000-0000-0000BB010000}"/>
    <cellStyle name="Accent3" xfId="3346" builtinId="37" customBuiltin="1"/>
    <cellStyle name="Accent3 2" xfId="3410" xr:uid="{00000000-0005-0000-0000-0000BD010000}"/>
    <cellStyle name="Accent4" xfId="3350" builtinId="41" customBuiltin="1"/>
    <cellStyle name="Accent4 2" xfId="3411" xr:uid="{00000000-0005-0000-0000-0000BF010000}"/>
    <cellStyle name="Accent5" xfId="3354" builtinId="45" customBuiltin="1"/>
    <cellStyle name="Accent5 2" xfId="3412" xr:uid="{00000000-0005-0000-0000-0000C1010000}"/>
    <cellStyle name="Accent6" xfId="3358" builtinId="49" customBuiltin="1"/>
    <cellStyle name="Accent6 2" xfId="3413" xr:uid="{00000000-0005-0000-0000-0000C3010000}"/>
    <cellStyle name="AggOrange_CRFReport-template" xfId="22" xr:uid="{00000000-0005-0000-0000-0000C4010000}"/>
    <cellStyle name="AggOrange9_CRFReport-template" xfId="23" xr:uid="{00000000-0005-0000-0000-0000C5010000}"/>
    <cellStyle name="Bad" xfId="3331" builtinId="27" customBuiltin="1"/>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3" xfId="6804" xr:uid="{00000000-0005-0000-0000-0000CF010000}"/>
    <cellStyle name="Bemærk! 2 2 3" xfId="3618" xr:uid="{00000000-0005-0000-0000-0000D0010000}"/>
    <cellStyle name="Bemærk! 2 2 3 2" xfId="4260" xr:uid="{00000000-0005-0000-0000-0000D1010000}"/>
    <cellStyle name="Bemærk! 2 2 3 2 2" xfId="7428" xr:uid="{00000000-0005-0000-0000-0000D2010000}"/>
    <cellStyle name="Bemærk! 2 2 3 3" xfId="6805" xr:uid="{00000000-0005-0000-0000-0000D3010000}"/>
    <cellStyle name="Bemærk! 2 2 4" xfId="4258" xr:uid="{00000000-0005-0000-0000-0000D4010000}"/>
    <cellStyle name="Bemærk! 2 2 4 2" xfId="7426" xr:uid="{00000000-0005-0000-0000-0000D5010000}"/>
    <cellStyle name="Bemærk! 2 2 5" xfId="6803" xr:uid="{00000000-0005-0000-0000-0000D6010000}"/>
    <cellStyle name="Bemærk! 2 3" xfId="3619" xr:uid="{00000000-0005-0000-0000-0000D7010000}"/>
    <cellStyle name="Bemærk! 2 3 2" xfId="4261" xr:uid="{00000000-0005-0000-0000-0000D8010000}"/>
    <cellStyle name="Bemærk! 2 3 2 2" xfId="7429" xr:uid="{00000000-0005-0000-0000-0000D9010000}"/>
    <cellStyle name="Bemærk! 2 3 3" xfId="6806" xr:uid="{00000000-0005-0000-0000-0000DA010000}"/>
    <cellStyle name="Bemærk! 2 4" xfId="3620" xr:uid="{00000000-0005-0000-0000-0000DB010000}"/>
    <cellStyle name="Bemærk! 2 4 2" xfId="4262" xr:uid="{00000000-0005-0000-0000-0000DC010000}"/>
    <cellStyle name="Bemærk! 2 4 2 2" xfId="7430" xr:uid="{00000000-0005-0000-0000-0000DD010000}"/>
    <cellStyle name="Bemærk! 2 4 3" xfId="6807" xr:uid="{00000000-0005-0000-0000-0000DE010000}"/>
    <cellStyle name="Bemærk! 2 5" xfId="3621" xr:uid="{00000000-0005-0000-0000-0000DF010000}"/>
    <cellStyle name="Bemærk! 2 5 2" xfId="4263" xr:uid="{00000000-0005-0000-0000-0000E0010000}"/>
    <cellStyle name="Bemærk! 2 5 2 2" xfId="7431" xr:uid="{00000000-0005-0000-0000-0000E1010000}"/>
    <cellStyle name="Bemærk! 2 5 3" xfId="6808" xr:uid="{00000000-0005-0000-0000-0000E2010000}"/>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3" xfId="6809" xr:uid="{00000000-0005-0000-0000-0000E7010000}"/>
    <cellStyle name="Bemærk! 2 8" xfId="4257" xr:uid="{00000000-0005-0000-0000-0000E8010000}"/>
    <cellStyle name="Bemærk! 2 8 2" xfId="7425" xr:uid="{00000000-0005-0000-0000-0000E9010000}"/>
    <cellStyle name="Bemærk! 2 9" xfId="6802" xr:uid="{00000000-0005-0000-0000-0000EA010000}"/>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3" xfId="6810" xr:uid="{00000000-0005-0000-0000-0000F0010000}"/>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3" xfId="6811" xr:uid="{00000000-0005-0000-0000-0000F5010000}"/>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ulation" xfId="27" builtinId="22" customBuiltin="1"/>
    <cellStyle name="Calculation 2" xfId="2009" xr:uid="{00000000-0005-0000-0000-000004020000}"/>
    <cellStyle name="Calculation 2 2" xfId="3520" xr:uid="{00000000-0005-0000-0000-000005020000}"/>
    <cellStyle name="Calculation 2 3" xfId="3426" xr:uid="{00000000-0005-0000-0000-000006020000}"/>
    <cellStyle name="Calculations" xfId="28" xr:uid="{00000000-0005-0000-0000-000007020000}"/>
    <cellStyle name="Cella collegata" xfId="29" xr:uid="{00000000-0005-0000-0000-000008020000}"/>
    <cellStyle name="Cella da controllare" xfId="30" xr:uid="{00000000-0005-0000-0000-000009020000}"/>
    <cellStyle name="Check Cell" xfId="3334" builtinId="23" customBuiltin="1"/>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2" xfId="37" xr:uid="{00000000-0005-0000-0000-000013020000}"/>
    <cellStyle name="Comma 2 10" xfId="3375" xr:uid="{00000000-0005-0000-0000-000014020000}"/>
    <cellStyle name="Comma 2 11" xfId="4861" xr:uid="{00000000-0005-0000-0000-000015020000}"/>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8" xfId="3263" xr:uid="{00000000-0005-0000-0000-000038020000}"/>
    <cellStyle name="Comma 2 9" xfId="3365" xr:uid="{00000000-0005-0000-0000-000039020000}"/>
    <cellStyle name="Comma 2 9 2" xfId="6649" xr:uid="{00000000-0005-0000-0000-00003A020000}"/>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3" xfId="5369" xr:uid="{00000000-0005-0000-0000-000046020000}"/>
    <cellStyle name="Comma 3 3 2 4" xfId="6291" xr:uid="{00000000-0005-0000-0000-000047020000}"/>
    <cellStyle name="Comma 3 3 3" xfId="3274" xr:uid="{00000000-0005-0000-0000-000048020000}"/>
    <cellStyle name="Comma 3 3 3 2" xfId="6601" xr:uid="{00000000-0005-0000-0000-000049020000}"/>
    <cellStyle name="Comma 3 3 4" xfId="4931" xr:uid="{00000000-0005-0000-0000-00004A020000}"/>
    <cellStyle name="Comma 3 3 5" xfId="5680" xr:uid="{00000000-0005-0000-0000-00004B020000}"/>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6" xfId="3271" xr:uid="{00000000-0005-0000-0000-000051020000}"/>
    <cellStyle name="Comma 3 7" xfId="3366" xr:uid="{00000000-0005-0000-0000-000052020000}"/>
    <cellStyle name="Comma 3 7 2" xfId="6650" xr:uid="{00000000-0005-0000-0000-000053020000}"/>
    <cellStyle name="Comma 3 8" xfId="3374" xr:uid="{00000000-0005-0000-0000-000054020000}"/>
    <cellStyle name="Comma 3 9" xfId="4862" xr:uid="{00000000-0005-0000-0000-000055020000}"/>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3" xfId="5370" xr:uid="{00000000-0005-0000-0000-000061020000}"/>
    <cellStyle name="Comma 4 3 2 4" xfId="6292" xr:uid="{00000000-0005-0000-0000-000062020000}"/>
    <cellStyle name="Comma 4 3 3" xfId="3278" xr:uid="{00000000-0005-0000-0000-000063020000}"/>
    <cellStyle name="Comma 4 3 3 2" xfId="6602" xr:uid="{00000000-0005-0000-0000-000064020000}"/>
    <cellStyle name="Comma 4 3 4" xfId="4932" xr:uid="{00000000-0005-0000-0000-000065020000}"/>
    <cellStyle name="Comma 4 3 5" xfId="5681" xr:uid="{00000000-0005-0000-0000-000066020000}"/>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3" xfId="5677" xr:uid="{00000000-0005-0000-0000-000084020000}"/>
    <cellStyle name="Comma 7 2 4" xfId="6599" xr:uid="{00000000-0005-0000-0000-000085020000}"/>
    <cellStyle name="Comma 7 3" xfId="3292" xr:uid="{00000000-0005-0000-0000-000086020000}"/>
    <cellStyle name="Comma 7 3 2" xfId="6610" xr:uid="{00000000-0005-0000-0000-000087020000}"/>
    <cellStyle name="Comma 7 4" xfId="3434" xr:uid="{00000000-0005-0000-0000-000088020000}"/>
    <cellStyle name="Comma 7 4 2" xfId="6661" xr:uid="{00000000-0005-0000-0000-000089020000}"/>
    <cellStyle name="Comma 7 5" xfId="5308" xr:uid="{00000000-0005-0000-0000-00008A020000}"/>
    <cellStyle name="Comma 7 6" xfId="6230" xr:uid="{00000000-0005-0000-0000-00008B020000}"/>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3" xfId="6688" xr:uid="{00000000-0005-0000-0000-000093020000}"/>
    <cellStyle name="Comma 9 2 3" xfId="3496" xr:uid="{00000000-0005-0000-0000-000094020000}"/>
    <cellStyle name="Comma 9 2 3 2" xfId="4147" xr:uid="{00000000-0005-0000-0000-000095020000}"/>
    <cellStyle name="Comma 9 2 3 2 2" xfId="7315" xr:uid="{00000000-0005-0000-0000-000096020000}"/>
    <cellStyle name="Comma 9 2 3 3" xfId="6704" xr:uid="{00000000-0005-0000-0000-000097020000}"/>
    <cellStyle name="Comma 9 2 4" xfId="4115" xr:uid="{00000000-0005-0000-0000-000098020000}"/>
    <cellStyle name="Comma 9 2 4 2" xfId="7283" xr:uid="{00000000-0005-0000-0000-000099020000}"/>
    <cellStyle name="Comma 9 2 5" xfId="6672" xr:uid="{00000000-0005-0000-0000-00009A020000}"/>
    <cellStyle name="Comma 9 3" xfId="3472" xr:uid="{00000000-0005-0000-0000-00009B020000}"/>
    <cellStyle name="Comma 9 3 2" xfId="4123" xr:uid="{00000000-0005-0000-0000-00009C020000}"/>
    <cellStyle name="Comma 9 3 2 2" xfId="7291" xr:uid="{00000000-0005-0000-0000-00009D020000}"/>
    <cellStyle name="Comma 9 3 3" xfId="6680" xr:uid="{00000000-0005-0000-0000-00009E020000}"/>
    <cellStyle name="Comma 9 4" xfId="3488" xr:uid="{00000000-0005-0000-0000-00009F020000}"/>
    <cellStyle name="Comma 9 4 2" xfId="4139" xr:uid="{00000000-0005-0000-0000-0000A0020000}"/>
    <cellStyle name="Comma 9 4 2 2" xfId="7307" xr:uid="{00000000-0005-0000-0000-0000A1020000}"/>
    <cellStyle name="Comma 9 4 3" xfId="6696" xr:uid="{00000000-0005-0000-0000-0000A2020000}"/>
    <cellStyle name="Comma 9 5" xfId="3516" xr:uid="{00000000-0005-0000-0000-0000A3020000}"/>
    <cellStyle name="Comma 9 5 2" xfId="4157" xr:uid="{00000000-0005-0000-0000-0000A4020000}"/>
    <cellStyle name="Comma 9 5 2 2" xfId="7325" xr:uid="{00000000-0005-0000-0000-0000A5020000}"/>
    <cellStyle name="Comma 9 5 3" xfId="6714" xr:uid="{00000000-0005-0000-0000-0000A6020000}"/>
    <cellStyle name="Comma 9 6" xfId="4107" xr:uid="{00000000-0005-0000-0000-0000A7020000}"/>
    <cellStyle name="Comma 9 6 2" xfId="7275" xr:uid="{00000000-0005-0000-0000-0000A8020000}"/>
    <cellStyle name="Comma 9 7" xfId="6663" xr:uid="{00000000-0005-0000-0000-0000A9020000}"/>
    <cellStyle name="Comma0 - Type3" xfId="58" xr:uid="{00000000-0005-0000-0000-0000AA020000}"/>
    <cellStyle name="Constants" xfId="7899" xr:uid="{2626E661-DE6D-40FA-B291-5D7441FCCFD5}"/>
    <cellStyle name="CustomizationCells" xfId="59" xr:uid="{00000000-0005-0000-0000-0000AB020000}"/>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xfId="3336" builtinId="53" customBuiltin="1"/>
    <cellStyle name="Explanatory Text 2" xfId="3437" xr:uid="{00000000-0005-0000-0000-0000F2040000}"/>
    <cellStyle name="Fixed2 - Type2" xfId="416" xr:uid="{00000000-0005-0000-0000-0000F3040000}"/>
    <cellStyle name="Good" xfId="417" builtinId="26" customBuiltin="1"/>
    <cellStyle name="Good 2" xfId="3438" xr:uid="{00000000-0005-0000-0000-0000F5040000}"/>
    <cellStyle name="Heading 1" xfId="418" builtinId="16"/>
    <cellStyle name="Heading 1 2" xfId="3439" xr:uid="{00000000-0005-0000-0000-0000F7040000}"/>
    <cellStyle name="Heading 2" xfId="419" builtinId="17"/>
    <cellStyle name="Heading 2 2" xfId="3440" xr:uid="{00000000-0005-0000-0000-0000F9040000}"/>
    <cellStyle name="Heading 3 2" xfId="3441" xr:uid="{00000000-0005-0000-0000-0000FA040000}"/>
    <cellStyle name="Heading 4" xfId="420" builtinId="19"/>
    <cellStyle name="Heading 4 2" xfId="3442" xr:uid="{00000000-0005-0000-0000-0000FC040000}"/>
    <cellStyle name="Headline" xfId="7898" xr:uid="{D4101B57-472A-4D62-B508-EC70BD3A3BE0}"/>
    <cellStyle name="Hyperlink" xfId="7896" builtinId="8"/>
    <cellStyle name="Hyperlink 2" xfId="421" xr:uid="{00000000-0005-0000-0000-0000FE040000}"/>
    <cellStyle name="Hyperlink 2 2" xfId="3443" xr:uid="{00000000-0005-0000-0000-0000FF040000}"/>
    <cellStyle name="Hyperlink 3" xfId="3444" xr:uid="{00000000-0005-0000-0000-000000050000}"/>
    <cellStyle name="Input" xfId="422" builtinId="20" customBuiltin="1"/>
    <cellStyle name="Input 2" xfId="423" xr:uid="{00000000-0005-0000-0000-000002050000}"/>
    <cellStyle name="Input 2 2" xfId="3521" xr:uid="{00000000-0005-0000-0000-000003050000}"/>
    <cellStyle name="Input 3" xfId="424" xr:uid="{00000000-0005-0000-0000-000004050000}"/>
    <cellStyle name="InputCells" xfId="425" xr:uid="{00000000-0005-0000-0000-000005050000}"/>
    <cellStyle name="Komma 10" xfId="3501" xr:uid="{00000000-0005-0000-0000-000006050000}"/>
    <cellStyle name="Komma 10 2" xfId="4151" xr:uid="{00000000-0005-0000-0000-000007050000}"/>
    <cellStyle name="Komma 10 2 2" xfId="7319" xr:uid="{00000000-0005-0000-0000-000008050000}"/>
    <cellStyle name="Komma 10 3" xfId="6708" xr:uid="{00000000-0005-0000-0000-000009050000}"/>
    <cellStyle name="Komma 11" xfId="3370" xr:uid="{00000000-0005-0000-0000-00000A050000}"/>
    <cellStyle name="Komma 2" xfId="426" xr:uid="{00000000-0005-0000-0000-00000B050000}"/>
    <cellStyle name="Komma 2 2" xfId="427" xr:uid="{00000000-0005-0000-0000-00000C050000}"/>
    <cellStyle name="Komma 2 2 2" xfId="3283" xr:uid="{00000000-0005-0000-0000-00000D050000}"/>
    <cellStyle name="Komma 2 2 3" xfId="3504" xr:uid="{00000000-0005-0000-0000-00000E050000}"/>
    <cellStyle name="Komma 2 3" xfId="3315" xr:uid="{00000000-0005-0000-0000-00000F050000}"/>
    <cellStyle name="Komma 2 3 2" xfId="3629" xr:uid="{00000000-0005-0000-0000-000010050000}"/>
    <cellStyle name="Komma 2 3 3" xfId="4934" xr:uid="{00000000-0005-0000-0000-000011050000}"/>
    <cellStyle name="Komma 2 3 4" xfId="6624" xr:uid="{00000000-0005-0000-0000-000012050000}"/>
    <cellStyle name="Komma 2 4" xfId="3282" xr:uid="{00000000-0005-0000-0000-000013050000}"/>
    <cellStyle name="Komma 2 4 2" xfId="4154" xr:uid="{00000000-0005-0000-0000-000014050000}"/>
    <cellStyle name="Komma 2 4 2 2" xfId="7322" xr:uid="{00000000-0005-0000-0000-000015050000}"/>
    <cellStyle name="Komma 2 4 3" xfId="3513" xr:uid="{00000000-0005-0000-0000-000016050000}"/>
    <cellStyle name="Komma 2 4 3 2" xfId="6711" xr:uid="{00000000-0005-0000-0000-000017050000}"/>
    <cellStyle name="Komma 2 5" xfId="3388" xr:uid="{00000000-0005-0000-0000-000018050000}"/>
    <cellStyle name="Komma 2 6" xfId="4863" xr:uid="{00000000-0005-0000-0000-000019050000}"/>
    <cellStyle name="Komma 3" xfId="428" xr:uid="{00000000-0005-0000-0000-00001A050000}"/>
    <cellStyle name="Komma 3 10" xfId="3386" xr:uid="{00000000-0005-0000-0000-00001B050000}"/>
    <cellStyle name="Komma 3 10 2" xfId="6654" xr:uid="{00000000-0005-0000-0000-00001C050000}"/>
    <cellStyle name="Komma 3 11" xfId="4864" xr:uid="{00000000-0005-0000-0000-00001D050000}"/>
    <cellStyle name="Komma 3 12" xfId="5682" xr:uid="{00000000-0005-0000-0000-00001E050000}"/>
    <cellStyle name="Komma 3 2" xfId="429" xr:uid="{00000000-0005-0000-0000-00001F050000}"/>
    <cellStyle name="Komma 3 2 2" xfId="3478" xr:uid="{00000000-0005-0000-0000-000020050000}"/>
    <cellStyle name="Komma 3 2 2 2" xfId="3632" xr:uid="{00000000-0005-0000-0000-000021050000}"/>
    <cellStyle name="Komma 3 2 2 2 2" xfId="4269" xr:uid="{00000000-0005-0000-0000-000022050000}"/>
    <cellStyle name="Komma 3 2 2 2 2 2" xfId="7437" xr:uid="{00000000-0005-0000-0000-000023050000}"/>
    <cellStyle name="Komma 3 2 2 2 3" xfId="6814" xr:uid="{00000000-0005-0000-0000-000024050000}"/>
    <cellStyle name="Komma 3 2 2 3" xfId="4129" xr:uid="{00000000-0005-0000-0000-000025050000}"/>
    <cellStyle name="Komma 3 2 2 3 2" xfId="7297" xr:uid="{00000000-0005-0000-0000-000026050000}"/>
    <cellStyle name="Komma 3 2 2 4" xfId="6686" xr:uid="{00000000-0005-0000-0000-000027050000}"/>
    <cellStyle name="Komma 3 2 3" xfId="3494" xr:uid="{00000000-0005-0000-0000-000028050000}"/>
    <cellStyle name="Komma 3 2 3 2" xfId="3633" xr:uid="{00000000-0005-0000-0000-000029050000}"/>
    <cellStyle name="Komma 3 2 3 2 2" xfId="4270" xr:uid="{00000000-0005-0000-0000-00002A050000}"/>
    <cellStyle name="Komma 3 2 3 2 2 2" xfId="7438" xr:uid="{00000000-0005-0000-0000-00002B050000}"/>
    <cellStyle name="Komma 3 2 3 2 3" xfId="6815" xr:uid="{00000000-0005-0000-0000-00002C050000}"/>
    <cellStyle name="Komma 3 2 3 3" xfId="4145" xr:uid="{00000000-0005-0000-0000-00002D050000}"/>
    <cellStyle name="Komma 3 2 3 3 2" xfId="7313" xr:uid="{00000000-0005-0000-0000-00002E050000}"/>
    <cellStyle name="Komma 3 2 3 4" xfId="6702" xr:uid="{00000000-0005-0000-0000-00002F050000}"/>
    <cellStyle name="Komma 3 2 4" xfId="3631" xr:uid="{00000000-0005-0000-0000-000030050000}"/>
    <cellStyle name="Komma 3 2 4 2" xfId="4268" xr:uid="{00000000-0005-0000-0000-000031050000}"/>
    <cellStyle name="Komma 3 2 4 2 2" xfId="7436" xr:uid="{00000000-0005-0000-0000-000032050000}"/>
    <cellStyle name="Komma 3 2 4 3" xfId="6813" xr:uid="{00000000-0005-0000-0000-000033050000}"/>
    <cellStyle name="Komma 3 2 5" xfId="4113" xr:uid="{00000000-0005-0000-0000-000034050000}"/>
    <cellStyle name="Komma 3 2 5 2" xfId="7281" xr:uid="{00000000-0005-0000-0000-000035050000}"/>
    <cellStyle name="Komma 3 2 6" xfId="3462" xr:uid="{00000000-0005-0000-0000-000036050000}"/>
    <cellStyle name="Komma 3 2 6 2" xfId="6670" xr:uid="{00000000-0005-0000-0000-000037050000}"/>
    <cellStyle name="Komma 3 2 7" xfId="4936" xr:uid="{00000000-0005-0000-0000-000038050000}"/>
    <cellStyle name="Komma 3 2 8" xfId="5683" xr:uid="{00000000-0005-0000-0000-000039050000}"/>
    <cellStyle name="Komma 3 3" xfId="3470" xr:uid="{00000000-0005-0000-0000-00003A050000}"/>
    <cellStyle name="Komma 3 3 2" xfId="3634" xr:uid="{00000000-0005-0000-0000-00003B050000}"/>
    <cellStyle name="Komma 3 3 2 2" xfId="4271" xr:uid="{00000000-0005-0000-0000-00003C050000}"/>
    <cellStyle name="Komma 3 3 2 2 2" xfId="7439" xr:uid="{00000000-0005-0000-0000-00003D050000}"/>
    <cellStyle name="Komma 3 3 2 3" xfId="6816" xr:uid="{00000000-0005-0000-0000-00003E050000}"/>
    <cellStyle name="Komma 3 3 3" xfId="4121" xr:uid="{00000000-0005-0000-0000-00003F050000}"/>
    <cellStyle name="Komma 3 3 3 2" xfId="7289" xr:uid="{00000000-0005-0000-0000-000040050000}"/>
    <cellStyle name="Komma 3 3 4" xfId="4935" xr:uid="{00000000-0005-0000-0000-000041050000}"/>
    <cellStyle name="Komma 3 3 5" xfId="6678" xr:uid="{00000000-0005-0000-0000-000042050000}"/>
    <cellStyle name="Komma 3 4" xfId="3486" xr:uid="{00000000-0005-0000-0000-000043050000}"/>
    <cellStyle name="Komma 3 4 2" xfId="3635" xr:uid="{00000000-0005-0000-0000-000044050000}"/>
    <cellStyle name="Komma 3 4 2 2" xfId="4272" xr:uid="{00000000-0005-0000-0000-000045050000}"/>
    <cellStyle name="Komma 3 4 2 2 2" xfId="7440" xr:uid="{00000000-0005-0000-0000-000046050000}"/>
    <cellStyle name="Komma 3 4 2 3" xfId="6817" xr:uid="{00000000-0005-0000-0000-000047050000}"/>
    <cellStyle name="Komma 3 4 3" xfId="4137" xr:uid="{00000000-0005-0000-0000-000048050000}"/>
    <cellStyle name="Komma 3 4 3 2" xfId="7305" xr:uid="{00000000-0005-0000-0000-000049050000}"/>
    <cellStyle name="Komma 3 4 4" xfId="6694" xr:uid="{00000000-0005-0000-0000-00004A050000}"/>
    <cellStyle name="Komma 3 5" xfId="3636" xr:uid="{00000000-0005-0000-0000-00004B050000}"/>
    <cellStyle name="Komma 3 5 2" xfId="4273" xr:uid="{00000000-0005-0000-0000-00004C050000}"/>
    <cellStyle name="Komma 3 5 2 2" xfId="7441" xr:uid="{00000000-0005-0000-0000-00004D050000}"/>
    <cellStyle name="Komma 3 5 3" xfId="6818" xr:uid="{00000000-0005-0000-0000-00004E050000}"/>
    <cellStyle name="Komma 3 6" xfId="3637" xr:uid="{00000000-0005-0000-0000-00004F050000}"/>
    <cellStyle name="Komma 3 7" xfId="3630" xr:uid="{00000000-0005-0000-0000-000050050000}"/>
    <cellStyle name="Komma 3 7 2" xfId="4267" xr:uid="{00000000-0005-0000-0000-000051050000}"/>
    <cellStyle name="Komma 3 7 2 2" xfId="7435" xr:uid="{00000000-0005-0000-0000-000052050000}"/>
    <cellStyle name="Komma 3 7 3" xfId="6812" xr:uid="{00000000-0005-0000-0000-000053050000}"/>
    <cellStyle name="Komma 3 8" xfId="3507" xr:uid="{00000000-0005-0000-0000-000054050000}"/>
    <cellStyle name="Komma 3 9" xfId="4105" xr:uid="{00000000-0005-0000-0000-000055050000}"/>
    <cellStyle name="Komma 3 9 2" xfId="7273" xr:uid="{00000000-0005-0000-0000-000056050000}"/>
    <cellStyle name="Komma 4" xfId="430" xr:uid="{00000000-0005-0000-0000-000057050000}"/>
    <cellStyle name="Komma 4 10" xfId="5684" xr:uid="{00000000-0005-0000-0000-000058050000}"/>
    <cellStyle name="Komma 4 2" xfId="2310" xr:uid="{00000000-0005-0000-0000-000059050000}"/>
    <cellStyle name="Komma 4 2 2" xfId="3303" xr:uid="{00000000-0005-0000-0000-00005A050000}"/>
    <cellStyle name="Komma 4 2 2 2" xfId="4276" xr:uid="{00000000-0005-0000-0000-00005B050000}"/>
    <cellStyle name="Komma 4 2 2 2 2" xfId="7444" xr:uid="{00000000-0005-0000-0000-00005C050000}"/>
    <cellStyle name="Komma 4 2 2 3" xfId="3640" xr:uid="{00000000-0005-0000-0000-00005D050000}"/>
    <cellStyle name="Komma 4 2 2 3 2" xfId="6821" xr:uid="{00000000-0005-0000-0000-00005E050000}"/>
    <cellStyle name="Komma 4 2 2 4" xfId="6613" xr:uid="{00000000-0005-0000-0000-00005F050000}"/>
    <cellStyle name="Komma 4 2 3" xfId="3641" xr:uid="{00000000-0005-0000-0000-000060050000}"/>
    <cellStyle name="Komma 4 2 3 2" xfId="4277" xr:uid="{00000000-0005-0000-0000-000061050000}"/>
    <cellStyle name="Komma 4 2 3 2 2" xfId="7445" xr:uid="{00000000-0005-0000-0000-000062050000}"/>
    <cellStyle name="Komma 4 2 3 3" xfId="6822" xr:uid="{00000000-0005-0000-0000-000063050000}"/>
    <cellStyle name="Komma 4 2 4" xfId="3642" xr:uid="{00000000-0005-0000-0000-000064050000}"/>
    <cellStyle name="Komma 4 2 4 2" xfId="4278" xr:uid="{00000000-0005-0000-0000-000065050000}"/>
    <cellStyle name="Komma 4 2 4 2 2" xfId="7446" xr:uid="{00000000-0005-0000-0000-000066050000}"/>
    <cellStyle name="Komma 4 2 4 3" xfId="6823" xr:uid="{00000000-0005-0000-0000-000067050000}"/>
    <cellStyle name="Komma 4 2 5" xfId="4275" xr:uid="{00000000-0005-0000-0000-000068050000}"/>
    <cellStyle name="Komma 4 2 5 2" xfId="7443" xr:uid="{00000000-0005-0000-0000-000069050000}"/>
    <cellStyle name="Komma 4 2 6" xfId="3639" xr:uid="{00000000-0005-0000-0000-00006A050000}"/>
    <cellStyle name="Komma 4 2 6 2" xfId="6820" xr:uid="{00000000-0005-0000-0000-00006B050000}"/>
    <cellStyle name="Komma 4 2 7" xfId="5371" xr:uid="{00000000-0005-0000-0000-00006C050000}"/>
    <cellStyle name="Komma 4 2 8" xfId="6293" xr:uid="{00000000-0005-0000-0000-00006D050000}"/>
    <cellStyle name="Komma 4 3" xfId="3284" xr:uid="{00000000-0005-0000-0000-00006E050000}"/>
    <cellStyle name="Komma 4 3 2" xfId="3644" xr:uid="{00000000-0005-0000-0000-00006F050000}"/>
    <cellStyle name="Komma 4 3 2 2" xfId="4280" xr:uid="{00000000-0005-0000-0000-000070050000}"/>
    <cellStyle name="Komma 4 3 2 2 2" xfId="7448" xr:uid="{00000000-0005-0000-0000-000071050000}"/>
    <cellStyle name="Komma 4 3 2 3" xfId="6825" xr:uid="{00000000-0005-0000-0000-000072050000}"/>
    <cellStyle name="Komma 4 3 3" xfId="3645" xr:uid="{00000000-0005-0000-0000-000073050000}"/>
    <cellStyle name="Komma 4 3 3 2" xfId="4281" xr:uid="{00000000-0005-0000-0000-000074050000}"/>
    <cellStyle name="Komma 4 3 3 2 2" xfId="7449" xr:uid="{00000000-0005-0000-0000-000075050000}"/>
    <cellStyle name="Komma 4 3 3 3" xfId="6826" xr:uid="{00000000-0005-0000-0000-000076050000}"/>
    <cellStyle name="Komma 4 3 4" xfId="4279" xr:uid="{00000000-0005-0000-0000-000077050000}"/>
    <cellStyle name="Komma 4 3 4 2" xfId="7447" xr:uid="{00000000-0005-0000-0000-000078050000}"/>
    <cellStyle name="Komma 4 3 5" xfId="3643" xr:uid="{00000000-0005-0000-0000-000079050000}"/>
    <cellStyle name="Komma 4 3 5 2" xfId="6824" xr:uid="{00000000-0005-0000-0000-00007A050000}"/>
    <cellStyle name="Komma 4 3 6" xfId="6603" xr:uid="{00000000-0005-0000-0000-00007B050000}"/>
    <cellStyle name="Komma 4 4" xfId="3646" xr:uid="{00000000-0005-0000-0000-00007C050000}"/>
    <cellStyle name="Komma 4 4 2" xfId="4282" xr:uid="{00000000-0005-0000-0000-00007D050000}"/>
    <cellStyle name="Komma 4 4 2 2" xfId="7450" xr:uid="{00000000-0005-0000-0000-00007E050000}"/>
    <cellStyle name="Komma 4 4 3" xfId="6827" xr:uid="{00000000-0005-0000-0000-00007F050000}"/>
    <cellStyle name="Komma 4 5" xfId="3647" xr:uid="{00000000-0005-0000-0000-000080050000}"/>
    <cellStyle name="Komma 4 5 2" xfId="4283" xr:uid="{00000000-0005-0000-0000-000081050000}"/>
    <cellStyle name="Komma 4 5 2 2" xfId="7451" xr:uid="{00000000-0005-0000-0000-000082050000}"/>
    <cellStyle name="Komma 4 5 3" xfId="6828" xr:uid="{00000000-0005-0000-0000-000083050000}"/>
    <cellStyle name="Komma 4 6" xfId="3648" xr:uid="{00000000-0005-0000-0000-000084050000}"/>
    <cellStyle name="Komma 4 6 2" xfId="4284" xr:uid="{00000000-0005-0000-0000-000085050000}"/>
    <cellStyle name="Komma 4 6 2 2" xfId="7452" xr:uid="{00000000-0005-0000-0000-000086050000}"/>
    <cellStyle name="Komma 4 6 3" xfId="6829" xr:uid="{00000000-0005-0000-0000-000087050000}"/>
    <cellStyle name="Komma 4 7" xfId="4274" xr:uid="{00000000-0005-0000-0000-000088050000}"/>
    <cellStyle name="Komma 4 7 2" xfId="7442" xr:uid="{00000000-0005-0000-0000-000089050000}"/>
    <cellStyle name="Komma 4 8" xfId="3638" xr:uid="{00000000-0005-0000-0000-00008A050000}"/>
    <cellStyle name="Komma 4 8 2" xfId="6819" xr:uid="{00000000-0005-0000-0000-00008B050000}"/>
    <cellStyle name="Komma 4 9" xfId="4937" xr:uid="{00000000-0005-0000-0000-00008C050000}"/>
    <cellStyle name="Komma 5" xfId="431" xr:uid="{00000000-0005-0000-0000-00008D050000}"/>
    <cellStyle name="Komma 5 2" xfId="2311" xr:uid="{00000000-0005-0000-0000-00008E050000}"/>
    <cellStyle name="Komma 5 2 2" xfId="3304" xr:uid="{00000000-0005-0000-0000-00008F050000}"/>
    <cellStyle name="Komma 5 2 2 2" xfId="4287" xr:uid="{00000000-0005-0000-0000-000090050000}"/>
    <cellStyle name="Komma 5 2 2 2 2" xfId="7455" xr:uid="{00000000-0005-0000-0000-000091050000}"/>
    <cellStyle name="Komma 5 2 2 3" xfId="3651" xr:uid="{00000000-0005-0000-0000-000092050000}"/>
    <cellStyle name="Komma 5 2 2 3 2" xfId="6832" xr:uid="{00000000-0005-0000-0000-000093050000}"/>
    <cellStyle name="Komma 5 2 3" xfId="3652" xr:uid="{00000000-0005-0000-0000-000094050000}"/>
    <cellStyle name="Komma 5 2 3 2" xfId="4288" xr:uid="{00000000-0005-0000-0000-000095050000}"/>
    <cellStyle name="Komma 5 2 3 2 2" xfId="7456" xr:uid="{00000000-0005-0000-0000-000096050000}"/>
    <cellStyle name="Komma 5 2 3 3" xfId="6833" xr:uid="{00000000-0005-0000-0000-000097050000}"/>
    <cellStyle name="Komma 5 2 4" xfId="4286" xr:uid="{00000000-0005-0000-0000-000098050000}"/>
    <cellStyle name="Komma 5 2 4 2" xfId="7454" xr:uid="{00000000-0005-0000-0000-000099050000}"/>
    <cellStyle name="Komma 5 2 5" xfId="3650" xr:uid="{00000000-0005-0000-0000-00009A050000}"/>
    <cellStyle name="Komma 5 2 5 2" xfId="6831" xr:uid="{00000000-0005-0000-0000-00009B050000}"/>
    <cellStyle name="Komma 5 3" xfId="3285" xr:uid="{00000000-0005-0000-0000-00009C050000}"/>
    <cellStyle name="Komma 5 3 2" xfId="4289" xr:uid="{00000000-0005-0000-0000-00009D050000}"/>
    <cellStyle name="Komma 5 3 2 2" xfId="7457" xr:uid="{00000000-0005-0000-0000-00009E050000}"/>
    <cellStyle name="Komma 5 3 3" xfId="3653" xr:uid="{00000000-0005-0000-0000-00009F050000}"/>
    <cellStyle name="Komma 5 3 3 2" xfId="6834" xr:uid="{00000000-0005-0000-0000-0000A0050000}"/>
    <cellStyle name="Komma 5 4" xfId="3654" xr:uid="{00000000-0005-0000-0000-0000A1050000}"/>
    <cellStyle name="Komma 5 4 2" xfId="4290" xr:uid="{00000000-0005-0000-0000-0000A2050000}"/>
    <cellStyle name="Komma 5 4 2 2" xfId="7458" xr:uid="{00000000-0005-0000-0000-0000A3050000}"/>
    <cellStyle name="Komma 5 4 3" xfId="6835" xr:uid="{00000000-0005-0000-0000-0000A4050000}"/>
    <cellStyle name="Komma 5 5" xfId="3655" xr:uid="{00000000-0005-0000-0000-0000A5050000}"/>
    <cellStyle name="Komma 5 5 2" xfId="4291" xr:uid="{00000000-0005-0000-0000-0000A6050000}"/>
    <cellStyle name="Komma 5 5 2 2" xfId="7459" xr:uid="{00000000-0005-0000-0000-0000A7050000}"/>
    <cellStyle name="Komma 5 5 3" xfId="6836" xr:uid="{00000000-0005-0000-0000-0000A8050000}"/>
    <cellStyle name="Komma 5 6" xfId="4285" xr:uid="{00000000-0005-0000-0000-0000A9050000}"/>
    <cellStyle name="Komma 5 6 2" xfId="7453" xr:uid="{00000000-0005-0000-0000-0000AA050000}"/>
    <cellStyle name="Komma 5 7" xfId="3649" xr:uid="{00000000-0005-0000-0000-0000AB050000}"/>
    <cellStyle name="Komma 5 7 2" xfId="6830" xr:uid="{00000000-0005-0000-0000-0000AC050000}"/>
    <cellStyle name="Komma 6" xfId="3363" xr:uid="{00000000-0005-0000-0000-0000AD050000}"/>
    <cellStyle name="Komma 6 2" xfId="3656" xr:uid="{00000000-0005-0000-0000-0000AE050000}"/>
    <cellStyle name="Komma 6 2 2" xfId="3657" xr:uid="{00000000-0005-0000-0000-0000AF050000}"/>
    <cellStyle name="Komma 6 2 2 2" xfId="4294" xr:uid="{00000000-0005-0000-0000-0000B0050000}"/>
    <cellStyle name="Komma 6 2 2 2 2" xfId="7462" xr:uid="{00000000-0005-0000-0000-0000B1050000}"/>
    <cellStyle name="Komma 6 2 2 3" xfId="6838" xr:uid="{00000000-0005-0000-0000-0000B2050000}"/>
    <cellStyle name="Komma 6 2 3" xfId="3658" xr:uid="{00000000-0005-0000-0000-0000B3050000}"/>
    <cellStyle name="Komma 6 2 3 2" xfId="4295" xr:uid="{00000000-0005-0000-0000-0000B4050000}"/>
    <cellStyle name="Komma 6 2 3 2 2" xfId="7463" xr:uid="{00000000-0005-0000-0000-0000B5050000}"/>
    <cellStyle name="Komma 6 2 3 3" xfId="6839" xr:uid="{00000000-0005-0000-0000-0000B6050000}"/>
    <cellStyle name="Komma 6 2 4" xfId="4293" xr:uid="{00000000-0005-0000-0000-0000B7050000}"/>
    <cellStyle name="Komma 6 2 4 2" xfId="7461" xr:uid="{00000000-0005-0000-0000-0000B8050000}"/>
    <cellStyle name="Komma 6 2 5" xfId="6837" xr:uid="{00000000-0005-0000-0000-0000B9050000}"/>
    <cellStyle name="Komma 6 3" xfId="3659" xr:uid="{00000000-0005-0000-0000-0000BA050000}"/>
    <cellStyle name="Komma 6 3 2" xfId="4296" xr:uid="{00000000-0005-0000-0000-0000BB050000}"/>
    <cellStyle name="Komma 6 3 2 2" xfId="7464" xr:uid="{00000000-0005-0000-0000-0000BC050000}"/>
    <cellStyle name="Komma 6 3 3" xfId="6840" xr:uid="{00000000-0005-0000-0000-0000BD050000}"/>
    <cellStyle name="Komma 6 4" xfId="3660" xr:uid="{00000000-0005-0000-0000-0000BE050000}"/>
    <cellStyle name="Komma 6 4 2" xfId="4297" xr:uid="{00000000-0005-0000-0000-0000BF050000}"/>
    <cellStyle name="Komma 6 4 2 2" xfId="7465" xr:uid="{00000000-0005-0000-0000-0000C0050000}"/>
    <cellStyle name="Komma 6 4 3" xfId="6841" xr:uid="{00000000-0005-0000-0000-0000C1050000}"/>
    <cellStyle name="Komma 6 5" xfId="3661" xr:uid="{00000000-0005-0000-0000-0000C2050000}"/>
    <cellStyle name="Komma 6 5 2" xfId="4298" xr:uid="{00000000-0005-0000-0000-0000C3050000}"/>
    <cellStyle name="Komma 6 5 2 2" xfId="7466" xr:uid="{00000000-0005-0000-0000-0000C4050000}"/>
    <cellStyle name="Komma 6 5 3" xfId="6842" xr:uid="{00000000-0005-0000-0000-0000C5050000}"/>
    <cellStyle name="Komma 6 6" xfId="4292" xr:uid="{00000000-0005-0000-0000-0000C6050000}"/>
    <cellStyle name="Komma 6 6 2" xfId="7460" xr:uid="{00000000-0005-0000-0000-0000C7050000}"/>
    <cellStyle name="Komma 6 7" xfId="6647" xr:uid="{00000000-0005-0000-0000-0000C8050000}"/>
    <cellStyle name="Komma 7" xfId="3662" xr:uid="{00000000-0005-0000-0000-0000C9050000}"/>
    <cellStyle name="Komma 7 2" xfId="3663" xr:uid="{00000000-0005-0000-0000-0000CA050000}"/>
    <cellStyle name="Komma 7 2 2" xfId="3664" xr:uid="{00000000-0005-0000-0000-0000CB050000}"/>
    <cellStyle name="Komma 7 2 2 2" xfId="4301" xr:uid="{00000000-0005-0000-0000-0000CC050000}"/>
    <cellStyle name="Komma 7 2 2 2 2" xfId="7469" xr:uid="{00000000-0005-0000-0000-0000CD050000}"/>
    <cellStyle name="Komma 7 2 2 3" xfId="6845" xr:uid="{00000000-0005-0000-0000-0000CE050000}"/>
    <cellStyle name="Komma 7 2 3" xfId="3665" xr:uid="{00000000-0005-0000-0000-0000CF050000}"/>
    <cellStyle name="Komma 7 2 3 2" xfId="4302" xr:uid="{00000000-0005-0000-0000-0000D0050000}"/>
    <cellStyle name="Komma 7 2 3 2 2" xfId="7470" xr:uid="{00000000-0005-0000-0000-0000D1050000}"/>
    <cellStyle name="Komma 7 2 3 3" xfId="6846" xr:uid="{00000000-0005-0000-0000-0000D2050000}"/>
    <cellStyle name="Komma 7 2 4" xfId="4300" xr:uid="{00000000-0005-0000-0000-0000D3050000}"/>
    <cellStyle name="Komma 7 2 4 2" xfId="7468" xr:uid="{00000000-0005-0000-0000-0000D4050000}"/>
    <cellStyle name="Komma 7 2 5" xfId="6844" xr:uid="{00000000-0005-0000-0000-0000D5050000}"/>
    <cellStyle name="Komma 7 3" xfId="3666" xr:uid="{00000000-0005-0000-0000-0000D6050000}"/>
    <cellStyle name="Komma 7 3 2" xfId="4303" xr:uid="{00000000-0005-0000-0000-0000D7050000}"/>
    <cellStyle name="Komma 7 3 2 2" xfId="7471" xr:uid="{00000000-0005-0000-0000-0000D8050000}"/>
    <cellStyle name="Komma 7 3 3" xfId="6847" xr:uid="{00000000-0005-0000-0000-0000D9050000}"/>
    <cellStyle name="Komma 7 4" xfId="3667" xr:uid="{00000000-0005-0000-0000-0000DA050000}"/>
    <cellStyle name="Komma 7 4 2" xfId="4304" xr:uid="{00000000-0005-0000-0000-0000DB050000}"/>
    <cellStyle name="Komma 7 4 2 2" xfId="7472" xr:uid="{00000000-0005-0000-0000-0000DC050000}"/>
    <cellStyle name="Komma 7 4 3" xfId="6848" xr:uid="{00000000-0005-0000-0000-0000DD050000}"/>
    <cellStyle name="Komma 7 5" xfId="4299" xr:uid="{00000000-0005-0000-0000-0000DE050000}"/>
    <cellStyle name="Komma 7 5 2" xfId="7467" xr:uid="{00000000-0005-0000-0000-0000DF050000}"/>
    <cellStyle name="Komma 7 6" xfId="6843" xr:uid="{00000000-0005-0000-0000-0000E0050000}"/>
    <cellStyle name="Komma 8" xfId="3668" xr:uid="{00000000-0005-0000-0000-0000E1050000}"/>
    <cellStyle name="Komma 8 2" xfId="3669" xr:uid="{00000000-0005-0000-0000-0000E2050000}"/>
    <cellStyle name="Komma 8 2 2" xfId="4306" xr:uid="{00000000-0005-0000-0000-0000E3050000}"/>
    <cellStyle name="Komma 8 2 2 2" xfId="7474" xr:uid="{00000000-0005-0000-0000-0000E4050000}"/>
    <cellStyle name="Komma 8 2 3" xfId="6850" xr:uid="{00000000-0005-0000-0000-0000E5050000}"/>
    <cellStyle name="Komma 8 3" xfId="3670" xr:uid="{00000000-0005-0000-0000-0000E6050000}"/>
    <cellStyle name="Komma 8 3 2" xfId="4307" xr:uid="{00000000-0005-0000-0000-0000E7050000}"/>
    <cellStyle name="Komma 8 3 2 2" xfId="7475" xr:uid="{00000000-0005-0000-0000-0000E8050000}"/>
    <cellStyle name="Komma 8 3 3" xfId="6851" xr:uid="{00000000-0005-0000-0000-0000E9050000}"/>
    <cellStyle name="Komma 8 4" xfId="4305" xr:uid="{00000000-0005-0000-0000-0000EA050000}"/>
    <cellStyle name="Komma 8 4 2" xfId="7473" xr:uid="{00000000-0005-0000-0000-0000EB050000}"/>
    <cellStyle name="Komma 8 5" xfId="6849" xr:uid="{00000000-0005-0000-0000-0000EC050000}"/>
    <cellStyle name="Komma 9" xfId="3671" xr:uid="{00000000-0005-0000-0000-0000ED050000}"/>
    <cellStyle name="Komma 9 2" xfId="4308" xr:uid="{00000000-0005-0000-0000-0000EE050000}"/>
    <cellStyle name="Komma 9 2 2" xfId="7476" xr:uid="{00000000-0005-0000-0000-0000EF050000}"/>
    <cellStyle name="Komma 9 3" xfId="6852" xr:uid="{00000000-0005-0000-0000-0000F0050000}"/>
    <cellStyle name="Link 2" xfId="432" xr:uid="{00000000-0005-0000-0000-0000F1050000}"/>
    <cellStyle name="Link 2 2" xfId="3674" xr:uid="{00000000-0005-0000-0000-0000F2050000}"/>
    <cellStyle name="Link 2 3" xfId="3675" xr:uid="{00000000-0005-0000-0000-0000F3050000}"/>
    <cellStyle name="Link 2 4" xfId="3673" xr:uid="{00000000-0005-0000-0000-0000F4050000}"/>
    <cellStyle name="Link 2 5" xfId="3503" xr:uid="{00000000-0005-0000-0000-0000F5050000}"/>
    <cellStyle name="Link 3" xfId="433" xr:uid="{00000000-0005-0000-0000-0000F6050000}"/>
    <cellStyle name="Link 3 2" xfId="3676" xr:uid="{00000000-0005-0000-0000-0000F7050000}"/>
    <cellStyle name="Link 4" xfId="3672" xr:uid="{00000000-0005-0000-0000-0000F8050000}"/>
    <cellStyle name="Link 5" xfId="3509" xr:uid="{00000000-0005-0000-0000-0000F9050000}"/>
    <cellStyle name="Link 6" xfId="4729" xr:uid="{00000000-0005-0000-0000-0000FA050000}"/>
    <cellStyle name="Linked Cell" xfId="3333" builtinId="24" customBuiltin="1"/>
    <cellStyle name="Linked Cell 2" xfId="3445" xr:uid="{00000000-0005-0000-0000-0000FC050000}"/>
    <cellStyle name="Migliaia [0] 10" xfId="434" xr:uid="{00000000-0005-0000-0000-0000FD050000}"/>
    <cellStyle name="Migliaia [0] 10 2" xfId="2010" xr:uid="{00000000-0005-0000-0000-0000FE050000}"/>
    <cellStyle name="Migliaia [0] 10 2 2" xfId="5309" xr:uid="{00000000-0005-0000-0000-0000FF050000}"/>
    <cellStyle name="Migliaia [0] 10 2 3" xfId="6231" xr:uid="{00000000-0005-0000-0000-000000060000}"/>
    <cellStyle name="Migliaia [0] 10 3" xfId="4740" xr:uid="{00000000-0005-0000-0000-000001060000}"/>
    <cellStyle name="Migliaia [0] 10 4" xfId="5685" xr:uid="{00000000-0005-0000-0000-000002060000}"/>
    <cellStyle name="Migliaia [0] 11" xfId="435" xr:uid="{00000000-0005-0000-0000-000003060000}"/>
    <cellStyle name="Migliaia [0] 11 2" xfId="2011" xr:uid="{00000000-0005-0000-0000-000004060000}"/>
    <cellStyle name="Migliaia [0] 11 2 2" xfId="5310" xr:uid="{00000000-0005-0000-0000-000005060000}"/>
    <cellStyle name="Migliaia [0] 11 2 3" xfId="6232" xr:uid="{00000000-0005-0000-0000-000006060000}"/>
    <cellStyle name="Migliaia [0] 11 3" xfId="4741" xr:uid="{00000000-0005-0000-0000-000007060000}"/>
    <cellStyle name="Migliaia [0] 11 4" xfId="5686" xr:uid="{00000000-0005-0000-0000-000008060000}"/>
    <cellStyle name="Migliaia [0] 12" xfId="436" xr:uid="{00000000-0005-0000-0000-000009060000}"/>
    <cellStyle name="Migliaia [0] 12 2" xfId="2012" xr:uid="{00000000-0005-0000-0000-00000A060000}"/>
    <cellStyle name="Migliaia [0] 12 2 2" xfId="5311" xr:uid="{00000000-0005-0000-0000-00000B060000}"/>
    <cellStyle name="Migliaia [0] 12 2 3" xfId="6233" xr:uid="{00000000-0005-0000-0000-00000C060000}"/>
    <cellStyle name="Migliaia [0] 12 3" xfId="4742" xr:uid="{00000000-0005-0000-0000-00000D060000}"/>
    <cellStyle name="Migliaia [0] 12 4" xfId="5687" xr:uid="{00000000-0005-0000-0000-00000E060000}"/>
    <cellStyle name="Migliaia [0] 13" xfId="437" xr:uid="{00000000-0005-0000-0000-00000F060000}"/>
    <cellStyle name="Migliaia [0] 13 2" xfId="2013" xr:uid="{00000000-0005-0000-0000-000010060000}"/>
    <cellStyle name="Migliaia [0] 13 2 2" xfId="5312" xr:uid="{00000000-0005-0000-0000-000011060000}"/>
    <cellStyle name="Migliaia [0] 13 2 3" xfId="6234" xr:uid="{00000000-0005-0000-0000-000012060000}"/>
    <cellStyle name="Migliaia [0] 13 3" xfId="4743" xr:uid="{00000000-0005-0000-0000-000013060000}"/>
    <cellStyle name="Migliaia [0] 13 4" xfId="5688" xr:uid="{00000000-0005-0000-0000-000014060000}"/>
    <cellStyle name="Migliaia [0] 14" xfId="438" xr:uid="{00000000-0005-0000-0000-000015060000}"/>
    <cellStyle name="Migliaia [0] 14 2" xfId="2014" xr:uid="{00000000-0005-0000-0000-000016060000}"/>
    <cellStyle name="Migliaia [0] 14 2 2" xfId="5313" xr:uid="{00000000-0005-0000-0000-000017060000}"/>
    <cellStyle name="Migliaia [0] 14 2 3" xfId="6235" xr:uid="{00000000-0005-0000-0000-000018060000}"/>
    <cellStyle name="Migliaia [0] 14 3" xfId="4744" xr:uid="{00000000-0005-0000-0000-000019060000}"/>
    <cellStyle name="Migliaia [0] 14 4" xfId="5689" xr:uid="{00000000-0005-0000-0000-00001A060000}"/>
    <cellStyle name="Migliaia [0] 15" xfId="439" xr:uid="{00000000-0005-0000-0000-00001B060000}"/>
    <cellStyle name="Migliaia [0] 15 2" xfId="2015" xr:uid="{00000000-0005-0000-0000-00001C060000}"/>
    <cellStyle name="Migliaia [0] 15 2 2" xfId="5314" xr:uid="{00000000-0005-0000-0000-00001D060000}"/>
    <cellStyle name="Migliaia [0] 15 2 3" xfId="6236" xr:uid="{00000000-0005-0000-0000-00001E060000}"/>
    <cellStyle name="Migliaia [0] 15 3" xfId="4745" xr:uid="{00000000-0005-0000-0000-00001F060000}"/>
    <cellStyle name="Migliaia [0] 15 4" xfId="5690" xr:uid="{00000000-0005-0000-0000-000020060000}"/>
    <cellStyle name="Migliaia [0] 16" xfId="440" xr:uid="{00000000-0005-0000-0000-000021060000}"/>
    <cellStyle name="Migliaia [0] 16 2" xfId="2016" xr:uid="{00000000-0005-0000-0000-000022060000}"/>
    <cellStyle name="Migliaia [0] 16 2 2" xfId="5315" xr:uid="{00000000-0005-0000-0000-000023060000}"/>
    <cellStyle name="Migliaia [0] 16 2 3" xfId="6237" xr:uid="{00000000-0005-0000-0000-000024060000}"/>
    <cellStyle name="Migliaia [0] 16 3" xfId="4746" xr:uid="{00000000-0005-0000-0000-000025060000}"/>
    <cellStyle name="Migliaia [0] 16 4" xfId="5691" xr:uid="{00000000-0005-0000-0000-000026060000}"/>
    <cellStyle name="Migliaia [0] 17" xfId="441" xr:uid="{00000000-0005-0000-0000-000027060000}"/>
    <cellStyle name="Migliaia [0] 17 2" xfId="2017" xr:uid="{00000000-0005-0000-0000-000028060000}"/>
    <cellStyle name="Migliaia [0] 17 2 2" xfId="5316" xr:uid="{00000000-0005-0000-0000-000029060000}"/>
    <cellStyle name="Migliaia [0] 17 2 3" xfId="6238" xr:uid="{00000000-0005-0000-0000-00002A060000}"/>
    <cellStyle name="Migliaia [0] 17 3" xfId="4747" xr:uid="{00000000-0005-0000-0000-00002B060000}"/>
    <cellStyle name="Migliaia [0] 17 4" xfId="5692" xr:uid="{00000000-0005-0000-0000-00002C060000}"/>
    <cellStyle name="Migliaia [0] 18" xfId="442" xr:uid="{00000000-0005-0000-0000-00002D060000}"/>
    <cellStyle name="Migliaia [0] 18 2" xfId="2018" xr:uid="{00000000-0005-0000-0000-00002E060000}"/>
    <cellStyle name="Migliaia [0] 18 2 2" xfId="5317" xr:uid="{00000000-0005-0000-0000-00002F060000}"/>
    <cellStyle name="Migliaia [0] 18 2 3" xfId="6239" xr:uid="{00000000-0005-0000-0000-000030060000}"/>
    <cellStyle name="Migliaia [0] 18 3" xfId="4748" xr:uid="{00000000-0005-0000-0000-000031060000}"/>
    <cellStyle name="Migliaia [0] 18 4" xfId="5693" xr:uid="{00000000-0005-0000-0000-000032060000}"/>
    <cellStyle name="Migliaia [0] 19" xfId="443" xr:uid="{00000000-0005-0000-0000-000033060000}"/>
    <cellStyle name="Migliaia [0] 19 2" xfId="2019" xr:uid="{00000000-0005-0000-0000-000034060000}"/>
    <cellStyle name="Migliaia [0] 19 2 2" xfId="5318" xr:uid="{00000000-0005-0000-0000-000035060000}"/>
    <cellStyle name="Migliaia [0] 19 2 3" xfId="6240" xr:uid="{00000000-0005-0000-0000-000036060000}"/>
    <cellStyle name="Migliaia [0] 19 3" xfId="4749" xr:uid="{00000000-0005-0000-0000-000037060000}"/>
    <cellStyle name="Migliaia [0] 19 4" xfId="5694" xr:uid="{00000000-0005-0000-0000-000038060000}"/>
    <cellStyle name="Migliaia [0] 2" xfId="444" xr:uid="{00000000-0005-0000-0000-000039060000}"/>
    <cellStyle name="Migliaia [0] 2 2" xfId="2020" xr:uid="{00000000-0005-0000-0000-00003A060000}"/>
    <cellStyle name="Migliaia [0] 2 2 2" xfId="5319" xr:uid="{00000000-0005-0000-0000-00003B060000}"/>
    <cellStyle name="Migliaia [0] 2 2 3" xfId="6241" xr:uid="{00000000-0005-0000-0000-00003C060000}"/>
    <cellStyle name="Migliaia [0] 2 3" xfId="4750" xr:uid="{00000000-0005-0000-0000-00003D060000}"/>
    <cellStyle name="Migliaia [0] 2 4" xfId="5695" xr:uid="{00000000-0005-0000-0000-00003E060000}"/>
    <cellStyle name="Migliaia [0] 20" xfId="445" xr:uid="{00000000-0005-0000-0000-00003F060000}"/>
    <cellStyle name="Migliaia [0] 20 2" xfId="2021" xr:uid="{00000000-0005-0000-0000-000040060000}"/>
    <cellStyle name="Migliaia [0] 20 2 2" xfId="5320" xr:uid="{00000000-0005-0000-0000-000041060000}"/>
    <cellStyle name="Migliaia [0] 20 2 3" xfId="6242" xr:uid="{00000000-0005-0000-0000-000042060000}"/>
    <cellStyle name="Migliaia [0] 20 3" xfId="4751" xr:uid="{00000000-0005-0000-0000-000043060000}"/>
    <cellStyle name="Migliaia [0] 20 4" xfId="5696" xr:uid="{00000000-0005-0000-0000-000044060000}"/>
    <cellStyle name="Migliaia [0] 21" xfId="446" xr:uid="{00000000-0005-0000-0000-000045060000}"/>
    <cellStyle name="Migliaia [0] 21 2" xfId="2022" xr:uid="{00000000-0005-0000-0000-000046060000}"/>
    <cellStyle name="Migliaia [0] 21 2 2" xfId="5321" xr:uid="{00000000-0005-0000-0000-000047060000}"/>
    <cellStyle name="Migliaia [0] 21 2 3" xfId="6243" xr:uid="{00000000-0005-0000-0000-000048060000}"/>
    <cellStyle name="Migliaia [0] 21 3" xfId="4752" xr:uid="{00000000-0005-0000-0000-000049060000}"/>
    <cellStyle name="Migliaia [0] 21 4" xfId="5697" xr:uid="{00000000-0005-0000-0000-00004A060000}"/>
    <cellStyle name="Migliaia [0] 22" xfId="447" xr:uid="{00000000-0005-0000-0000-00004B060000}"/>
    <cellStyle name="Migliaia [0] 22 2" xfId="2023" xr:uid="{00000000-0005-0000-0000-00004C060000}"/>
    <cellStyle name="Migliaia [0] 22 2 2" xfId="5322" xr:uid="{00000000-0005-0000-0000-00004D060000}"/>
    <cellStyle name="Migliaia [0] 22 2 3" xfId="6244" xr:uid="{00000000-0005-0000-0000-00004E060000}"/>
    <cellStyle name="Migliaia [0] 22 3" xfId="4753" xr:uid="{00000000-0005-0000-0000-00004F060000}"/>
    <cellStyle name="Migliaia [0] 22 4" xfId="5698" xr:uid="{00000000-0005-0000-0000-000050060000}"/>
    <cellStyle name="Migliaia [0] 23" xfId="448" xr:uid="{00000000-0005-0000-0000-000051060000}"/>
    <cellStyle name="Migliaia [0] 23 2" xfId="2024" xr:uid="{00000000-0005-0000-0000-000052060000}"/>
    <cellStyle name="Migliaia [0] 23 2 2" xfId="5323" xr:uid="{00000000-0005-0000-0000-000053060000}"/>
    <cellStyle name="Migliaia [0] 23 2 3" xfId="6245" xr:uid="{00000000-0005-0000-0000-000054060000}"/>
    <cellStyle name="Migliaia [0] 23 3" xfId="4754" xr:uid="{00000000-0005-0000-0000-000055060000}"/>
    <cellStyle name="Migliaia [0] 23 4" xfId="5699" xr:uid="{00000000-0005-0000-0000-000056060000}"/>
    <cellStyle name="Migliaia [0] 24" xfId="449" xr:uid="{00000000-0005-0000-0000-000057060000}"/>
    <cellStyle name="Migliaia [0] 24 2" xfId="2025" xr:uid="{00000000-0005-0000-0000-000058060000}"/>
    <cellStyle name="Migliaia [0] 24 2 2" xfId="5324" xr:uid="{00000000-0005-0000-0000-000059060000}"/>
    <cellStyle name="Migliaia [0] 24 2 3" xfId="6246" xr:uid="{00000000-0005-0000-0000-00005A060000}"/>
    <cellStyle name="Migliaia [0] 24 3" xfId="4755" xr:uid="{00000000-0005-0000-0000-00005B060000}"/>
    <cellStyle name="Migliaia [0] 24 4" xfId="5700" xr:uid="{00000000-0005-0000-0000-00005C060000}"/>
    <cellStyle name="Migliaia [0] 25" xfId="450" xr:uid="{00000000-0005-0000-0000-00005D060000}"/>
    <cellStyle name="Migliaia [0] 25 2" xfId="2026" xr:uid="{00000000-0005-0000-0000-00005E060000}"/>
    <cellStyle name="Migliaia [0] 25 2 2" xfId="5325" xr:uid="{00000000-0005-0000-0000-00005F060000}"/>
    <cellStyle name="Migliaia [0] 25 2 3" xfId="6247" xr:uid="{00000000-0005-0000-0000-000060060000}"/>
    <cellStyle name="Migliaia [0] 25 3" xfId="4756" xr:uid="{00000000-0005-0000-0000-000061060000}"/>
    <cellStyle name="Migliaia [0] 25 4" xfId="5701" xr:uid="{00000000-0005-0000-0000-000062060000}"/>
    <cellStyle name="Migliaia [0] 26" xfId="451" xr:uid="{00000000-0005-0000-0000-000063060000}"/>
    <cellStyle name="Migliaia [0] 26 2" xfId="2027" xr:uid="{00000000-0005-0000-0000-000064060000}"/>
    <cellStyle name="Migliaia [0] 26 2 2" xfId="5326" xr:uid="{00000000-0005-0000-0000-000065060000}"/>
    <cellStyle name="Migliaia [0] 26 2 3" xfId="6248" xr:uid="{00000000-0005-0000-0000-000066060000}"/>
    <cellStyle name="Migliaia [0] 26 3" xfId="4757" xr:uid="{00000000-0005-0000-0000-000067060000}"/>
    <cellStyle name="Migliaia [0] 26 4" xfId="5702" xr:uid="{00000000-0005-0000-0000-000068060000}"/>
    <cellStyle name="Migliaia [0] 27" xfId="452" xr:uid="{00000000-0005-0000-0000-000069060000}"/>
    <cellStyle name="Migliaia [0] 27 2" xfId="2028" xr:uid="{00000000-0005-0000-0000-00006A060000}"/>
    <cellStyle name="Migliaia [0] 27 2 2" xfId="5327" xr:uid="{00000000-0005-0000-0000-00006B060000}"/>
    <cellStyle name="Migliaia [0] 27 2 3" xfId="6249" xr:uid="{00000000-0005-0000-0000-00006C060000}"/>
    <cellStyle name="Migliaia [0] 27 3" xfId="4758" xr:uid="{00000000-0005-0000-0000-00006D060000}"/>
    <cellStyle name="Migliaia [0] 27 4" xfId="5703" xr:uid="{00000000-0005-0000-0000-00006E060000}"/>
    <cellStyle name="Migliaia [0] 28" xfId="453" xr:uid="{00000000-0005-0000-0000-00006F060000}"/>
    <cellStyle name="Migliaia [0] 28 2" xfId="2029" xr:uid="{00000000-0005-0000-0000-000070060000}"/>
    <cellStyle name="Migliaia [0] 28 2 2" xfId="5328" xr:uid="{00000000-0005-0000-0000-000071060000}"/>
    <cellStyle name="Migliaia [0] 28 2 3" xfId="6250" xr:uid="{00000000-0005-0000-0000-000072060000}"/>
    <cellStyle name="Migliaia [0] 28 3" xfId="4759" xr:uid="{00000000-0005-0000-0000-000073060000}"/>
    <cellStyle name="Migliaia [0] 28 4" xfId="5704" xr:uid="{00000000-0005-0000-0000-000074060000}"/>
    <cellStyle name="Migliaia [0] 29" xfId="454" xr:uid="{00000000-0005-0000-0000-000075060000}"/>
    <cellStyle name="Migliaia [0] 29 2" xfId="2030" xr:uid="{00000000-0005-0000-0000-000076060000}"/>
    <cellStyle name="Migliaia [0] 29 2 2" xfId="5329" xr:uid="{00000000-0005-0000-0000-000077060000}"/>
    <cellStyle name="Migliaia [0] 29 2 3" xfId="6251" xr:uid="{00000000-0005-0000-0000-000078060000}"/>
    <cellStyle name="Migliaia [0] 29 3" xfId="4760" xr:uid="{00000000-0005-0000-0000-000079060000}"/>
    <cellStyle name="Migliaia [0] 29 4" xfId="5705" xr:uid="{00000000-0005-0000-0000-00007A060000}"/>
    <cellStyle name="Migliaia [0] 3" xfId="455" xr:uid="{00000000-0005-0000-0000-00007B060000}"/>
    <cellStyle name="Migliaia [0] 3 2" xfId="2031" xr:uid="{00000000-0005-0000-0000-00007C060000}"/>
    <cellStyle name="Migliaia [0] 3 2 2" xfId="5330" xr:uid="{00000000-0005-0000-0000-00007D060000}"/>
    <cellStyle name="Migliaia [0] 3 2 3" xfId="6252" xr:uid="{00000000-0005-0000-0000-00007E060000}"/>
    <cellStyle name="Migliaia [0] 3 3" xfId="4761" xr:uid="{00000000-0005-0000-0000-00007F060000}"/>
    <cellStyle name="Migliaia [0] 3 4" xfId="5706" xr:uid="{00000000-0005-0000-0000-000080060000}"/>
    <cellStyle name="Migliaia [0] 30" xfId="456" xr:uid="{00000000-0005-0000-0000-000081060000}"/>
    <cellStyle name="Migliaia [0] 30 2" xfId="2032" xr:uid="{00000000-0005-0000-0000-000082060000}"/>
    <cellStyle name="Migliaia [0] 30 2 2" xfId="5331" xr:uid="{00000000-0005-0000-0000-000083060000}"/>
    <cellStyle name="Migliaia [0] 30 2 3" xfId="6253" xr:uid="{00000000-0005-0000-0000-000084060000}"/>
    <cellStyle name="Migliaia [0] 30 3" xfId="4762" xr:uid="{00000000-0005-0000-0000-000085060000}"/>
    <cellStyle name="Migliaia [0] 30 4" xfId="5707" xr:uid="{00000000-0005-0000-0000-000086060000}"/>
    <cellStyle name="Migliaia [0] 31" xfId="457" xr:uid="{00000000-0005-0000-0000-000087060000}"/>
    <cellStyle name="Migliaia [0] 31 2" xfId="2033" xr:uid="{00000000-0005-0000-0000-000088060000}"/>
    <cellStyle name="Migliaia [0] 31 2 2" xfId="5332" xr:uid="{00000000-0005-0000-0000-000089060000}"/>
    <cellStyle name="Migliaia [0] 31 2 3" xfId="6254" xr:uid="{00000000-0005-0000-0000-00008A060000}"/>
    <cellStyle name="Migliaia [0] 31 3" xfId="4763" xr:uid="{00000000-0005-0000-0000-00008B060000}"/>
    <cellStyle name="Migliaia [0] 31 4" xfId="5708" xr:uid="{00000000-0005-0000-0000-00008C060000}"/>
    <cellStyle name="Migliaia [0] 32" xfId="458" xr:uid="{00000000-0005-0000-0000-00008D060000}"/>
    <cellStyle name="Migliaia [0] 32 2" xfId="2034" xr:uid="{00000000-0005-0000-0000-00008E060000}"/>
    <cellStyle name="Migliaia [0] 32 2 2" xfId="5333" xr:uid="{00000000-0005-0000-0000-00008F060000}"/>
    <cellStyle name="Migliaia [0] 32 2 3" xfId="6255" xr:uid="{00000000-0005-0000-0000-000090060000}"/>
    <cellStyle name="Migliaia [0] 32 3" xfId="4764" xr:uid="{00000000-0005-0000-0000-000091060000}"/>
    <cellStyle name="Migliaia [0] 32 4" xfId="5709" xr:uid="{00000000-0005-0000-0000-000092060000}"/>
    <cellStyle name="Migliaia [0] 33" xfId="459" xr:uid="{00000000-0005-0000-0000-000093060000}"/>
    <cellStyle name="Migliaia [0] 33 2" xfId="2035" xr:uid="{00000000-0005-0000-0000-000094060000}"/>
    <cellStyle name="Migliaia [0] 33 2 2" xfId="5334" xr:uid="{00000000-0005-0000-0000-000095060000}"/>
    <cellStyle name="Migliaia [0] 33 2 3" xfId="6256" xr:uid="{00000000-0005-0000-0000-000096060000}"/>
    <cellStyle name="Migliaia [0] 33 3" xfId="4765" xr:uid="{00000000-0005-0000-0000-000097060000}"/>
    <cellStyle name="Migliaia [0] 33 4" xfId="5710" xr:uid="{00000000-0005-0000-0000-000098060000}"/>
    <cellStyle name="Migliaia [0] 34" xfId="460" xr:uid="{00000000-0005-0000-0000-000099060000}"/>
    <cellStyle name="Migliaia [0] 34 2" xfId="2036" xr:uid="{00000000-0005-0000-0000-00009A060000}"/>
    <cellStyle name="Migliaia [0] 34 2 2" xfId="5335" xr:uid="{00000000-0005-0000-0000-00009B060000}"/>
    <cellStyle name="Migliaia [0] 34 2 3" xfId="6257" xr:uid="{00000000-0005-0000-0000-00009C060000}"/>
    <cellStyle name="Migliaia [0] 34 3" xfId="4766" xr:uid="{00000000-0005-0000-0000-00009D060000}"/>
    <cellStyle name="Migliaia [0] 34 4" xfId="5711" xr:uid="{00000000-0005-0000-0000-00009E060000}"/>
    <cellStyle name="Migliaia [0] 35" xfId="461" xr:uid="{00000000-0005-0000-0000-00009F060000}"/>
    <cellStyle name="Migliaia [0] 35 2" xfId="2037" xr:uid="{00000000-0005-0000-0000-0000A0060000}"/>
    <cellStyle name="Migliaia [0] 35 2 2" xfId="5336" xr:uid="{00000000-0005-0000-0000-0000A1060000}"/>
    <cellStyle name="Migliaia [0] 35 2 3" xfId="6258" xr:uid="{00000000-0005-0000-0000-0000A2060000}"/>
    <cellStyle name="Migliaia [0] 35 3" xfId="4767" xr:uid="{00000000-0005-0000-0000-0000A3060000}"/>
    <cellStyle name="Migliaia [0] 35 4" xfId="5712" xr:uid="{00000000-0005-0000-0000-0000A4060000}"/>
    <cellStyle name="Migliaia [0] 36" xfId="462" xr:uid="{00000000-0005-0000-0000-0000A5060000}"/>
    <cellStyle name="Migliaia [0] 36 2" xfId="2038" xr:uid="{00000000-0005-0000-0000-0000A6060000}"/>
    <cellStyle name="Migliaia [0] 36 2 2" xfId="5337" xr:uid="{00000000-0005-0000-0000-0000A7060000}"/>
    <cellStyle name="Migliaia [0] 36 2 3" xfId="6259" xr:uid="{00000000-0005-0000-0000-0000A8060000}"/>
    <cellStyle name="Migliaia [0] 36 3" xfId="4768" xr:uid="{00000000-0005-0000-0000-0000A9060000}"/>
    <cellStyle name="Migliaia [0] 36 4" xfId="5713" xr:uid="{00000000-0005-0000-0000-0000AA060000}"/>
    <cellStyle name="Migliaia [0] 37" xfId="463" xr:uid="{00000000-0005-0000-0000-0000AB060000}"/>
    <cellStyle name="Migliaia [0] 37 2" xfId="2039" xr:uid="{00000000-0005-0000-0000-0000AC060000}"/>
    <cellStyle name="Migliaia [0] 37 2 2" xfId="5338" xr:uid="{00000000-0005-0000-0000-0000AD060000}"/>
    <cellStyle name="Migliaia [0] 37 2 3" xfId="6260" xr:uid="{00000000-0005-0000-0000-0000AE060000}"/>
    <cellStyle name="Migliaia [0] 37 3" xfId="4769" xr:uid="{00000000-0005-0000-0000-0000AF060000}"/>
    <cellStyle name="Migliaia [0] 37 4" xfId="5714" xr:uid="{00000000-0005-0000-0000-0000B0060000}"/>
    <cellStyle name="Migliaia [0] 38" xfId="464" xr:uid="{00000000-0005-0000-0000-0000B1060000}"/>
    <cellStyle name="Migliaia [0] 38 2" xfId="2040" xr:uid="{00000000-0005-0000-0000-0000B2060000}"/>
    <cellStyle name="Migliaia [0] 38 2 2" xfId="5339" xr:uid="{00000000-0005-0000-0000-0000B3060000}"/>
    <cellStyle name="Migliaia [0] 38 2 3" xfId="6261" xr:uid="{00000000-0005-0000-0000-0000B4060000}"/>
    <cellStyle name="Migliaia [0] 38 3" xfId="4770" xr:uid="{00000000-0005-0000-0000-0000B5060000}"/>
    <cellStyle name="Migliaia [0] 38 4" xfId="5715" xr:uid="{00000000-0005-0000-0000-0000B6060000}"/>
    <cellStyle name="Migliaia [0] 39" xfId="465" xr:uid="{00000000-0005-0000-0000-0000B7060000}"/>
    <cellStyle name="Migliaia [0] 39 2" xfId="2041" xr:uid="{00000000-0005-0000-0000-0000B8060000}"/>
    <cellStyle name="Migliaia [0] 39 2 2" xfId="5340" xr:uid="{00000000-0005-0000-0000-0000B9060000}"/>
    <cellStyle name="Migliaia [0] 39 2 3" xfId="6262" xr:uid="{00000000-0005-0000-0000-0000BA060000}"/>
    <cellStyle name="Migliaia [0] 39 3" xfId="4771" xr:uid="{00000000-0005-0000-0000-0000BB060000}"/>
    <cellStyle name="Migliaia [0] 39 4" xfId="5716" xr:uid="{00000000-0005-0000-0000-0000BC060000}"/>
    <cellStyle name="Migliaia [0] 4" xfId="466" xr:uid="{00000000-0005-0000-0000-0000BD060000}"/>
    <cellStyle name="Migliaia [0] 4 2" xfId="2042" xr:uid="{00000000-0005-0000-0000-0000BE060000}"/>
    <cellStyle name="Migliaia [0] 4 2 2" xfId="5341" xr:uid="{00000000-0005-0000-0000-0000BF060000}"/>
    <cellStyle name="Migliaia [0] 4 2 3" xfId="6263" xr:uid="{00000000-0005-0000-0000-0000C0060000}"/>
    <cellStyle name="Migliaia [0] 4 3" xfId="4772" xr:uid="{00000000-0005-0000-0000-0000C1060000}"/>
    <cellStyle name="Migliaia [0] 4 4" xfId="5717" xr:uid="{00000000-0005-0000-0000-0000C2060000}"/>
    <cellStyle name="Migliaia [0] 40" xfId="467" xr:uid="{00000000-0005-0000-0000-0000C3060000}"/>
    <cellStyle name="Migliaia [0] 40 2" xfId="2043" xr:uid="{00000000-0005-0000-0000-0000C4060000}"/>
    <cellStyle name="Migliaia [0] 40 2 2" xfId="5342" xr:uid="{00000000-0005-0000-0000-0000C5060000}"/>
    <cellStyle name="Migliaia [0] 40 2 3" xfId="6264" xr:uid="{00000000-0005-0000-0000-0000C6060000}"/>
    <cellStyle name="Migliaia [0] 40 3" xfId="4773" xr:uid="{00000000-0005-0000-0000-0000C7060000}"/>
    <cellStyle name="Migliaia [0] 40 4" xfId="5718" xr:uid="{00000000-0005-0000-0000-0000C8060000}"/>
    <cellStyle name="Migliaia [0] 41" xfId="468" xr:uid="{00000000-0005-0000-0000-0000C9060000}"/>
    <cellStyle name="Migliaia [0] 41 2" xfId="2044" xr:uid="{00000000-0005-0000-0000-0000CA060000}"/>
    <cellStyle name="Migliaia [0] 41 2 2" xfId="5343" xr:uid="{00000000-0005-0000-0000-0000CB060000}"/>
    <cellStyle name="Migliaia [0] 41 2 3" xfId="6265" xr:uid="{00000000-0005-0000-0000-0000CC060000}"/>
    <cellStyle name="Migliaia [0] 41 3" xfId="4774" xr:uid="{00000000-0005-0000-0000-0000CD060000}"/>
    <cellStyle name="Migliaia [0] 41 4" xfId="5719" xr:uid="{00000000-0005-0000-0000-0000CE060000}"/>
    <cellStyle name="Migliaia [0] 42" xfId="469" xr:uid="{00000000-0005-0000-0000-0000CF060000}"/>
    <cellStyle name="Migliaia [0] 42 2" xfId="2045" xr:uid="{00000000-0005-0000-0000-0000D0060000}"/>
    <cellStyle name="Migliaia [0] 42 2 2" xfId="5344" xr:uid="{00000000-0005-0000-0000-0000D1060000}"/>
    <cellStyle name="Migliaia [0] 42 2 3" xfId="6266" xr:uid="{00000000-0005-0000-0000-0000D2060000}"/>
    <cellStyle name="Migliaia [0] 42 3" xfId="4775" xr:uid="{00000000-0005-0000-0000-0000D3060000}"/>
    <cellStyle name="Migliaia [0] 42 4" xfId="5720" xr:uid="{00000000-0005-0000-0000-0000D4060000}"/>
    <cellStyle name="Migliaia [0] 43" xfId="470" xr:uid="{00000000-0005-0000-0000-0000D5060000}"/>
    <cellStyle name="Migliaia [0] 43 2" xfId="2046" xr:uid="{00000000-0005-0000-0000-0000D6060000}"/>
    <cellStyle name="Migliaia [0] 43 2 2" xfId="5345" xr:uid="{00000000-0005-0000-0000-0000D7060000}"/>
    <cellStyle name="Migliaia [0] 43 2 3" xfId="6267" xr:uid="{00000000-0005-0000-0000-0000D8060000}"/>
    <cellStyle name="Migliaia [0] 43 3" xfId="4776" xr:uid="{00000000-0005-0000-0000-0000D9060000}"/>
    <cellStyle name="Migliaia [0] 43 4" xfId="5721" xr:uid="{00000000-0005-0000-0000-0000DA060000}"/>
    <cellStyle name="Migliaia [0] 44" xfId="471" xr:uid="{00000000-0005-0000-0000-0000DB060000}"/>
    <cellStyle name="Migliaia [0] 44 2" xfId="2047" xr:uid="{00000000-0005-0000-0000-0000DC060000}"/>
    <cellStyle name="Migliaia [0] 44 2 2" xfId="5346" xr:uid="{00000000-0005-0000-0000-0000DD060000}"/>
    <cellStyle name="Migliaia [0] 44 2 3" xfId="6268" xr:uid="{00000000-0005-0000-0000-0000DE060000}"/>
    <cellStyle name="Migliaia [0] 44 3" xfId="4777" xr:uid="{00000000-0005-0000-0000-0000DF060000}"/>
    <cellStyle name="Migliaia [0] 44 4" xfId="5722" xr:uid="{00000000-0005-0000-0000-0000E0060000}"/>
    <cellStyle name="Migliaia [0] 45" xfId="472" xr:uid="{00000000-0005-0000-0000-0000E1060000}"/>
    <cellStyle name="Migliaia [0] 45 2" xfId="2048" xr:uid="{00000000-0005-0000-0000-0000E2060000}"/>
    <cellStyle name="Migliaia [0] 45 2 2" xfId="5347" xr:uid="{00000000-0005-0000-0000-0000E3060000}"/>
    <cellStyle name="Migliaia [0] 45 2 3" xfId="6269" xr:uid="{00000000-0005-0000-0000-0000E4060000}"/>
    <cellStyle name="Migliaia [0] 45 3" xfId="4778" xr:uid="{00000000-0005-0000-0000-0000E5060000}"/>
    <cellStyle name="Migliaia [0] 45 4" xfId="5723" xr:uid="{00000000-0005-0000-0000-0000E6060000}"/>
    <cellStyle name="Migliaia [0] 46" xfId="473" xr:uid="{00000000-0005-0000-0000-0000E7060000}"/>
    <cellStyle name="Migliaia [0] 46 2" xfId="2049" xr:uid="{00000000-0005-0000-0000-0000E8060000}"/>
    <cellStyle name="Migliaia [0] 46 2 2" xfId="5348" xr:uid="{00000000-0005-0000-0000-0000E9060000}"/>
    <cellStyle name="Migliaia [0] 46 2 3" xfId="6270" xr:uid="{00000000-0005-0000-0000-0000EA060000}"/>
    <cellStyle name="Migliaia [0] 46 3" xfId="4779" xr:uid="{00000000-0005-0000-0000-0000EB060000}"/>
    <cellStyle name="Migliaia [0] 46 4" xfId="5724" xr:uid="{00000000-0005-0000-0000-0000EC060000}"/>
    <cellStyle name="Migliaia [0] 47" xfId="474" xr:uid="{00000000-0005-0000-0000-0000ED060000}"/>
    <cellStyle name="Migliaia [0] 47 2" xfId="2050" xr:uid="{00000000-0005-0000-0000-0000EE060000}"/>
    <cellStyle name="Migliaia [0] 47 2 2" xfId="5349" xr:uid="{00000000-0005-0000-0000-0000EF060000}"/>
    <cellStyle name="Migliaia [0] 47 2 3" xfId="6271" xr:uid="{00000000-0005-0000-0000-0000F0060000}"/>
    <cellStyle name="Migliaia [0] 47 3" xfId="4780" xr:uid="{00000000-0005-0000-0000-0000F1060000}"/>
    <cellStyle name="Migliaia [0] 47 4" xfId="5725" xr:uid="{00000000-0005-0000-0000-0000F2060000}"/>
    <cellStyle name="Migliaia [0] 48" xfId="475" xr:uid="{00000000-0005-0000-0000-0000F3060000}"/>
    <cellStyle name="Migliaia [0] 48 2" xfId="2051" xr:uid="{00000000-0005-0000-0000-0000F4060000}"/>
    <cellStyle name="Migliaia [0] 48 2 2" xfId="5350" xr:uid="{00000000-0005-0000-0000-0000F5060000}"/>
    <cellStyle name="Migliaia [0] 48 2 3" xfId="6272" xr:uid="{00000000-0005-0000-0000-0000F6060000}"/>
    <cellStyle name="Migliaia [0] 48 3" xfId="4781" xr:uid="{00000000-0005-0000-0000-0000F7060000}"/>
    <cellStyle name="Migliaia [0] 48 4" xfId="5726" xr:uid="{00000000-0005-0000-0000-0000F8060000}"/>
    <cellStyle name="Migliaia [0] 49" xfId="476" xr:uid="{00000000-0005-0000-0000-0000F9060000}"/>
    <cellStyle name="Migliaia [0] 49 2" xfId="2052" xr:uid="{00000000-0005-0000-0000-0000FA060000}"/>
    <cellStyle name="Migliaia [0] 49 2 2" xfId="5351" xr:uid="{00000000-0005-0000-0000-0000FB060000}"/>
    <cellStyle name="Migliaia [0] 49 2 3" xfId="6273" xr:uid="{00000000-0005-0000-0000-0000FC060000}"/>
    <cellStyle name="Migliaia [0] 49 3" xfId="4782" xr:uid="{00000000-0005-0000-0000-0000FD060000}"/>
    <cellStyle name="Migliaia [0] 49 4" xfId="5727" xr:uid="{00000000-0005-0000-0000-0000FE060000}"/>
    <cellStyle name="Migliaia [0] 5" xfId="477" xr:uid="{00000000-0005-0000-0000-0000FF060000}"/>
    <cellStyle name="Migliaia [0] 5 2" xfId="2053" xr:uid="{00000000-0005-0000-0000-000000070000}"/>
    <cellStyle name="Migliaia [0] 5 2 2" xfId="5352" xr:uid="{00000000-0005-0000-0000-000001070000}"/>
    <cellStyle name="Migliaia [0] 5 2 3" xfId="6274" xr:uid="{00000000-0005-0000-0000-000002070000}"/>
    <cellStyle name="Migliaia [0] 5 3" xfId="4783" xr:uid="{00000000-0005-0000-0000-000003070000}"/>
    <cellStyle name="Migliaia [0] 5 4" xfId="5728" xr:uid="{00000000-0005-0000-0000-000004070000}"/>
    <cellStyle name="Migliaia [0] 50" xfId="478" xr:uid="{00000000-0005-0000-0000-000005070000}"/>
    <cellStyle name="Migliaia [0] 50 2" xfId="2054" xr:uid="{00000000-0005-0000-0000-000006070000}"/>
    <cellStyle name="Migliaia [0] 50 2 2" xfId="5353" xr:uid="{00000000-0005-0000-0000-000007070000}"/>
    <cellStyle name="Migliaia [0] 50 2 3" xfId="6275" xr:uid="{00000000-0005-0000-0000-000008070000}"/>
    <cellStyle name="Migliaia [0] 50 3" xfId="4784" xr:uid="{00000000-0005-0000-0000-000009070000}"/>
    <cellStyle name="Migliaia [0] 50 4" xfId="5729" xr:uid="{00000000-0005-0000-0000-00000A070000}"/>
    <cellStyle name="Migliaia [0] 51" xfId="479" xr:uid="{00000000-0005-0000-0000-00000B070000}"/>
    <cellStyle name="Migliaia [0] 51 2" xfId="2055" xr:uid="{00000000-0005-0000-0000-00000C070000}"/>
    <cellStyle name="Migliaia [0] 51 2 2" xfId="5354" xr:uid="{00000000-0005-0000-0000-00000D070000}"/>
    <cellStyle name="Migliaia [0] 51 2 3" xfId="6276" xr:uid="{00000000-0005-0000-0000-00000E070000}"/>
    <cellStyle name="Migliaia [0] 51 3" xfId="4785" xr:uid="{00000000-0005-0000-0000-00000F070000}"/>
    <cellStyle name="Migliaia [0] 51 4" xfId="5730" xr:uid="{00000000-0005-0000-0000-000010070000}"/>
    <cellStyle name="Migliaia [0] 52" xfId="480" xr:uid="{00000000-0005-0000-0000-000011070000}"/>
    <cellStyle name="Migliaia [0] 52 2" xfId="2056" xr:uid="{00000000-0005-0000-0000-000012070000}"/>
    <cellStyle name="Migliaia [0] 52 2 2" xfId="5355" xr:uid="{00000000-0005-0000-0000-000013070000}"/>
    <cellStyle name="Migliaia [0] 52 2 3" xfId="6277" xr:uid="{00000000-0005-0000-0000-000014070000}"/>
    <cellStyle name="Migliaia [0] 52 3" xfId="4786" xr:uid="{00000000-0005-0000-0000-000015070000}"/>
    <cellStyle name="Migliaia [0] 52 4" xfId="5731" xr:uid="{00000000-0005-0000-0000-000016070000}"/>
    <cellStyle name="Migliaia [0] 53" xfId="481" xr:uid="{00000000-0005-0000-0000-000017070000}"/>
    <cellStyle name="Migliaia [0] 53 2" xfId="2057" xr:uid="{00000000-0005-0000-0000-000018070000}"/>
    <cellStyle name="Migliaia [0] 53 2 2" xfId="5356" xr:uid="{00000000-0005-0000-0000-000019070000}"/>
    <cellStyle name="Migliaia [0] 53 2 3" xfId="6278" xr:uid="{00000000-0005-0000-0000-00001A070000}"/>
    <cellStyle name="Migliaia [0] 53 3" xfId="4787" xr:uid="{00000000-0005-0000-0000-00001B070000}"/>
    <cellStyle name="Migliaia [0] 53 4" xfId="5732" xr:uid="{00000000-0005-0000-0000-00001C070000}"/>
    <cellStyle name="Migliaia [0] 54" xfId="482" xr:uid="{00000000-0005-0000-0000-00001D070000}"/>
    <cellStyle name="Migliaia [0] 54 2" xfId="2058" xr:uid="{00000000-0005-0000-0000-00001E070000}"/>
    <cellStyle name="Migliaia [0] 54 2 2" xfId="5357" xr:uid="{00000000-0005-0000-0000-00001F070000}"/>
    <cellStyle name="Migliaia [0] 54 2 3" xfId="6279" xr:uid="{00000000-0005-0000-0000-000020070000}"/>
    <cellStyle name="Migliaia [0] 54 3" xfId="4788" xr:uid="{00000000-0005-0000-0000-000021070000}"/>
    <cellStyle name="Migliaia [0] 54 4" xfId="5733" xr:uid="{00000000-0005-0000-0000-000022070000}"/>
    <cellStyle name="Migliaia [0] 55" xfId="483" xr:uid="{00000000-0005-0000-0000-000023070000}"/>
    <cellStyle name="Migliaia [0] 55 2" xfId="2059" xr:uid="{00000000-0005-0000-0000-000024070000}"/>
    <cellStyle name="Migliaia [0] 55 2 2" xfId="5358" xr:uid="{00000000-0005-0000-0000-000025070000}"/>
    <cellStyle name="Migliaia [0] 55 2 3" xfId="6280" xr:uid="{00000000-0005-0000-0000-000026070000}"/>
    <cellStyle name="Migliaia [0] 55 3" xfId="4789" xr:uid="{00000000-0005-0000-0000-000027070000}"/>
    <cellStyle name="Migliaia [0] 55 4" xfId="5734" xr:uid="{00000000-0005-0000-0000-000028070000}"/>
    <cellStyle name="Migliaia [0] 56" xfId="484" xr:uid="{00000000-0005-0000-0000-000029070000}"/>
    <cellStyle name="Migliaia [0] 56 2" xfId="2060" xr:uid="{00000000-0005-0000-0000-00002A070000}"/>
    <cellStyle name="Migliaia [0] 56 2 2" xfId="5359" xr:uid="{00000000-0005-0000-0000-00002B070000}"/>
    <cellStyle name="Migliaia [0] 56 2 3" xfId="6281" xr:uid="{00000000-0005-0000-0000-00002C070000}"/>
    <cellStyle name="Migliaia [0] 56 3" xfId="4790" xr:uid="{00000000-0005-0000-0000-00002D070000}"/>
    <cellStyle name="Migliaia [0] 56 4" xfId="5735" xr:uid="{00000000-0005-0000-0000-00002E070000}"/>
    <cellStyle name="Migliaia [0] 57" xfId="485" xr:uid="{00000000-0005-0000-0000-00002F070000}"/>
    <cellStyle name="Migliaia [0] 57 2" xfId="2061" xr:uid="{00000000-0005-0000-0000-000030070000}"/>
    <cellStyle name="Migliaia [0] 57 2 2" xfId="5360" xr:uid="{00000000-0005-0000-0000-000031070000}"/>
    <cellStyle name="Migliaia [0] 57 2 3" xfId="6282" xr:uid="{00000000-0005-0000-0000-000032070000}"/>
    <cellStyle name="Migliaia [0] 57 3" xfId="4791" xr:uid="{00000000-0005-0000-0000-000033070000}"/>
    <cellStyle name="Migliaia [0] 57 4" xfId="5736" xr:uid="{00000000-0005-0000-0000-000034070000}"/>
    <cellStyle name="Migliaia [0] 58" xfId="486" xr:uid="{00000000-0005-0000-0000-000035070000}"/>
    <cellStyle name="Migliaia [0] 58 2" xfId="2062" xr:uid="{00000000-0005-0000-0000-000036070000}"/>
    <cellStyle name="Migliaia [0] 58 2 2" xfId="5361" xr:uid="{00000000-0005-0000-0000-000037070000}"/>
    <cellStyle name="Migliaia [0] 58 2 3" xfId="6283" xr:uid="{00000000-0005-0000-0000-000038070000}"/>
    <cellStyle name="Migliaia [0] 58 3" xfId="4792" xr:uid="{00000000-0005-0000-0000-000039070000}"/>
    <cellStyle name="Migliaia [0] 58 4" xfId="5737" xr:uid="{00000000-0005-0000-0000-00003A070000}"/>
    <cellStyle name="Migliaia [0] 59" xfId="487" xr:uid="{00000000-0005-0000-0000-00003B070000}"/>
    <cellStyle name="Migliaia [0] 59 2" xfId="2063" xr:uid="{00000000-0005-0000-0000-00003C070000}"/>
    <cellStyle name="Migliaia [0] 59 2 2" xfId="5362" xr:uid="{00000000-0005-0000-0000-00003D070000}"/>
    <cellStyle name="Migliaia [0] 59 2 3" xfId="6284" xr:uid="{00000000-0005-0000-0000-00003E070000}"/>
    <cellStyle name="Migliaia [0] 59 3" xfId="4793" xr:uid="{00000000-0005-0000-0000-00003F070000}"/>
    <cellStyle name="Migliaia [0] 59 4" xfId="5738" xr:uid="{00000000-0005-0000-0000-000040070000}"/>
    <cellStyle name="Migliaia [0] 6" xfId="488" xr:uid="{00000000-0005-0000-0000-000041070000}"/>
    <cellStyle name="Migliaia [0] 6 2" xfId="2064" xr:uid="{00000000-0005-0000-0000-000042070000}"/>
    <cellStyle name="Migliaia [0] 6 2 2" xfId="5363" xr:uid="{00000000-0005-0000-0000-000043070000}"/>
    <cellStyle name="Migliaia [0] 6 2 3" xfId="6285" xr:uid="{00000000-0005-0000-0000-000044070000}"/>
    <cellStyle name="Migliaia [0] 6 3" xfId="4794" xr:uid="{00000000-0005-0000-0000-000045070000}"/>
    <cellStyle name="Migliaia [0] 6 4" xfId="5739" xr:uid="{00000000-0005-0000-0000-000046070000}"/>
    <cellStyle name="Migliaia [0] 7" xfId="489" xr:uid="{00000000-0005-0000-0000-000047070000}"/>
    <cellStyle name="Migliaia [0] 7 2" xfId="2065" xr:uid="{00000000-0005-0000-0000-000048070000}"/>
    <cellStyle name="Migliaia [0] 7 2 2" xfId="5364" xr:uid="{00000000-0005-0000-0000-000049070000}"/>
    <cellStyle name="Migliaia [0] 7 2 3" xfId="6286" xr:uid="{00000000-0005-0000-0000-00004A070000}"/>
    <cellStyle name="Migliaia [0] 7 3" xfId="4795" xr:uid="{00000000-0005-0000-0000-00004B070000}"/>
    <cellStyle name="Migliaia [0] 7 4" xfId="5740" xr:uid="{00000000-0005-0000-0000-00004C070000}"/>
    <cellStyle name="Migliaia [0] 8" xfId="490" xr:uid="{00000000-0005-0000-0000-00004D070000}"/>
    <cellStyle name="Migliaia [0] 8 2" xfId="2066" xr:uid="{00000000-0005-0000-0000-00004E070000}"/>
    <cellStyle name="Migliaia [0] 8 2 2" xfId="5365" xr:uid="{00000000-0005-0000-0000-00004F070000}"/>
    <cellStyle name="Migliaia [0] 8 2 3" xfId="6287" xr:uid="{00000000-0005-0000-0000-000050070000}"/>
    <cellStyle name="Migliaia [0] 8 3" xfId="4796" xr:uid="{00000000-0005-0000-0000-000051070000}"/>
    <cellStyle name="Migliaia [0] 8 4" xfId="5741" xr:uid="{00000000-0005-0000-0000-000052070000}"/>
    <cellStyle name="Migliaia [0] 9" xfId="491" xr:uid="{00000000-0005-0000-0000-000053070000}"/>
    <cellStyle name="Migliaia [0] 9 2" xfId="2067" xr:uid="{00000000-0005-0000-0000-000054070000}"/>
    <cellStyle name="Migliaia [0] 9 2 2" xfId="5366" xr:uid="{00000000-0005-0000-0000-000055070000}"/>
    <cellStyle name="Migliaia [0] 9 2 3" xfId="6288" xr:uid="{00000000-0005-0000-0000-000056070000}"/>
    <cellStyle name="Migliaia [0] 9 3" xfId="4797" xr:uid="{00000000-0005-0000-0000-000057070000}"/>
    <cellStyle name="Migliaia [0] 9 4" xfId="5742" xr:uid="{00000000-0005-0000-0000-000058070000}"/>
    <cellStyle name="Migliaia 10" xfId="492" xr:uid="{00000000-0005-0000-0000-000059070000}"/>
    <cellStyle name="Migliaia 10 2" xfId="493" xr:uid="{00000000-0005-0000-0000-00005A070000}"/>
    <cellStyle name="Migliaia 10 2 2" xfId="2312" xr:uid="{00000000-0005-0000-0000-00005B070000}"/>
    <cellStyle name="Migliaia 10 2 2 2" xfId="5372" xr:uid="{00000000-0005-0000-0000-00005C070000}"/>
    <cellStyle name="Migliaia 10 2 2 3" xfId="6294" xr:uid="{00000000-0005-0000-0000-00005D070000}"/>
    <cellStyle name="Migliaia 10 2 3" xfId="4865" xr:uid="{00000000-0005-0000-0000-00005E070000}"/>
    <cellStyle name="Migliaia 10 2 4" xfId="5744" xr:uid="{00000000-0005-0000-0000-00005F070000}"/>
    <cellStyle name="Migliaia 10 3" xfId="494" xr:uid="{00000000-0005-0000-0000-000060070000}"/>
    <cellStyle name="Migliaia 10 3 2" xfId="495" xr:uid="{00000000-0005-0000-0000-000061070000}"/>
    <cellStyle name="Migliaia 10 3 2 2" xfId="4939" xr:uid="{00000000-0005-0000-0000-000062070000}"/>
    <cellStyle name="Migliaia 10 3 2 3" xfId="5746" xr:uid="{00000000-0005-0000-0000-000063070000}"/>
    <cellStyle name="Migliaia 10 3 3" xfId="496" xr:uid="{00000000-0005-0000-0000-000064070000}"/>
    <cellStyle name="Migliaia 10 3 3 2" xfId="2314" xr:uid="{00000000-0005-0000-0000-000065070000}"/>
    <cellStyle name="Migliaia 10 3 3 2 2" xfId="5374" xr:uid="{00000000-0005-0000-0000-000066070000}"/>
    <cellStyle name="Migliaia 10 3 3 2 3" xfId="6296" xr:uid="{00000000-0005-0000-0000-000067070000}"/>
    <cellStyle name="Migliaia 10 3 3 3" xfId="4940" xr:uid="{00000000-0005-0000-0000-000068070000}"/>
    <cellStyle name="Migliaia 10 3 3 4" xfId="5747" xr:uid="{00000000-0005-0000-0000-000069070000}"/>
    <cellStyle name="Migliaia 10 3 4" xfId="2313" xr:uid="{00000000-0005-0000-0000-00006A070000}"/>
    <cellStyle name="Migliaia 10 3 4 2" xfId="5373" xr:uid="{00000000-0005-0000-0000-00006B070000}"/>
    <cellStyle name="Migliaia 10 3 4 3" xfId="6295" xr:uid="{00000000-0005-0000-0000-00006C070000}"/>
    <cellStyle name="Migliaia 10 3 5" xfId="4938" xr:uid="{00000000-0005-0000-0000-00006D070000}"/>
    <cellStyle name="Migliaia 10 3 6" xfId="5745" xr:uid="{00000000-0005-0000-0000-00006E070000}"/>
    <cellStyle name="Migliaia 10 4" xfId="497" xr:uid="{00000000-0005-0000-0000-00006F070000}"/>
    <cellStyle name="Migliaia 10 4 2" xfId="498" xr:uid="{00000000-0005-0000-0000-000070070000}"/>
    <cellStyle name="Migliaia 10 4 2 2" xfId="2316" xr:uid="{00000000-0005-0000-0000-000071070000}"/>
    <cellStyle name="Migliaia 10 4 2 2 2" xfId="5376" xr:uid="{00000000-0005-0000-0000-000072070000}"/>
    <cellStyle name="Migliaia 10 4 2 2 3" xfId="6298" xr:uid="{00000000-0005-0000-0000-000073070000}"/>
    <cellStyle name="Migliaia 10 4 2 3" xfId="4942" xr:uid="{00000000-0005-0000-0000-000074070000}"/>
    <cellStyle name="Migliaia 10 4 2 4" xfId="5749" xr:uid="{00000000-0005-0000-0000-000075070000}"/>
    <cellStyle name="Migliaia 10 4 3" xfId="2315" xr:uid="{00000000-0005-0000-0000-000076070000}"/>
    <cellStyle name="Migliaia 10 4 3 2" xfId="5375" xr:uid="{00000000-0005-0000-0000-000077070000}"/>
    <cellStyle name="Migliaia 10 4 3 3" xfId="6297" xr:uid="{00000000-0005-0000-0000-000078070000}"/>
    <cellStyle name="Migliaia 10 4 4" xfId="4941" xr:uid="{00000000-0005-0000-0000-000079070000}"/>
    <cellStyle name="Migliaia 10 4 5" xfId="5748" xr:uid="{00000000-0005-0000-0000-00007A070000}"/>
    <cellStyle name="Migliaia 10 5" xfId="499" xr:uid="{00000000-0005-0000-0000-00007B070000}"/>
    <cellStyle name="Migliaia 10 5 2" xfId="4943" xr:uid="{00000000-0005-0000-0000-00007C070000}"/>
    <cellStyle name="Migliaia 10 5 3" xfId="5750" xr:uid="{00000000-0005-0000-0000-00007D070000}"/>
    <cellStyle name="Migliaia 10 6" xfId="4798" xr:uid="{00000000-0005-0000-0000-00007E070000}"/>
    <cellStyle name="Migliaia 10 7" xfId="5743" xr:uid="{00000000-0005-0000-0000-00007F070000}"/>
    <cellStyle name="Migliaia 11" xfId="500" xr:uid="{00000000-0005-0000-0000-000080070000}"/>
    <cellStyle name="Migliaia 11 2" xfId="501" xr:uid="{00000000-0005-0000-0000-000081070000}"/>
    <cellStyle name="Migliaia 11 2 2" xfId="2317" xr:uid="{00000000-0005-0000-0000-000082070000}"/>
    <cellStyle name="Migliaia 11 2 2 2" xfId="5377" xr:uid="{00000000-0005-0000-0000-000083070000}"/>
    <cellStyle name="Migliaia 11 2 2 3" xfId="6299" xr:uid="{00000000-0005-0000-0000-000084070000}"/>
    <cellStyle name="Migliaia 11 2 3" xfId="4866" xr:uid="{00000000-0005-0000-0000-000085070000}"/>
    <cellStyle name="Migliaia 11 2 4" xfId="5752" xr:uid="{00000000-0005-0000-0000-000086070000}"/>
    <cellStyle name="Migliaia 11 3" xfId="502" xr:uid="{00000000-0005-0000-0000-000087070000}"/>
    <cellStyle name="Migliaia 11 3 2" xfId="503" xr:uid="{00000000-0005-0000-0000-000088070000}"/>
    <cellStyle name="Migliaia 11 3 2 2" xfId="4945" xr:uid="{00000000-0005-0000-0000-000089070000}"/>
    <cellStyle name="Migliaia 11 3 2 3" xfId="5754" xr:uid="{00000000-0005-0000-0000-00008A070000}"/>
    <cellStyle name="Migliaia 11 3 3" xfId="504" xr:uid="{00000000-0005-0000-0000-00008B070000}"/>
    <cellStyle name="Migliaia 11 3 3 2" xfId="2319" xr:uid="{00000000-0005-0000-0000-00008C070000}"/>
    <cellStyle name="Migliaia 11 3 3 2 2" xfId="5379" xr:uid="{00000000-0005-0000-0000-00008D070000}"/>
    <cellStyle name="Migliaia 11 3 3 2 3" xfId="6301" xr:uid="{00000000-0005-0000-0000-00008E070000}"/>
    <cellStyle name="Migliaia 11 3 3 3" xfId="4946" xr:uid="{00000000-0005-0000-0000-00008F070000}"/>
    <cellStyle name="Migliaia 11 3 3 4" xfId="5755" xr:uid="{00000000-0005-0000-0000-000090070000}"/>
    <cellStyle name="Migliaia 11 3 4" xfId="2318" xr:uid="{00000000-0005-0000-0000-000091070000}"/>
    <cellStyle name="Migliaia 11 3 4 2" xfId="5378" xr:uid="{00000000-0005-0000-0000-000092070000}"/>
    <cellStyle name="Migliaia 11 3 4 3" xfId="6300" xr:uid="{00000000-0005-0000-0000-000093070000}"/>
    <cellStyle name="Migliaia 11 3 5" xfId="4944" xr:uid="{00000000-0005-0000-0000-000094070000}"/>
    <cellStyle name="Migliaia 11 3 6" xfId="5753" xr:uid="{00000000-0005-0000-0000-000095070000}"/>
    <cellStyle name="Migliaia 11 4" xfId="505" xr:uid="{00000000-0005-0000-0000-000096070000}"/>
    <cellStyle name="Migliaia 11 4 2" xfId="506" xr:uid="{00000000-0005-0000-0000-000097070000}"/>
    <cellStyle name="Migliaia 11 4 2 2" xfId="2321" xr:uid="{00000000-0005-0000-0000-000098070000}"/>
    <cellStyle name="Migliaia 11 4 2 2 2" xfId="5381" xr:uid="{00000000-0005-0000-0000-000099070000}"/>
    <cellStyle name="Migliaia 11 4 2 2 3" xfId="6303" xr:uid="{00000000-0005-0000-0000-00009A070000}"/>
    <cellStyle name="Migliaia 11 4 2 3" xfId="4948" xr:uid="{00000000-0005-0000-0000-00009B070000}"/>
    <cellStyle name="Migliaia 11 4 2 4" xfId="5757" xr:uid="{00000000-0005-0000-0000-00009C070000}"/>
    <cellStyle name="Migliaia 11 4 3" xfId="2320" xr:uid="{00000000-0005-0000-0000-00009D070000}"/>
    <cellStyle name="Migliaia 11 4 3 2" xfId="5380" xr:uid="{00000000-0005-0000-0000-00009E070000}"/>
    <cellStyle name="Migliaia 11 4 3 3" xfId="6302" xr:uid="{00000000-0005-0000-0000-00009F070000}"/>
    <cellStyle name="Migliaia 11 4 4" xfId="4947" xr:uid="{00000000-0005-0000-0000-0000A0070000}"/>
    <cellStyle name="Migliaia 11 4 5" xfId="5756" xr:uid="{00000000-0005-0000-0000-0000A1070000}"/>
    <cellStyle name="Migliaia 11 5" xfId="507" xr:uid="{00000000-0005-0000-0000-0000A2070000}"/>
    <cellStyle name="Migliaia 11 5 2" xfId="4949" xr:uid="{00000000-0005-0000-0000-0000A3070000}"/>
    <cellStyle name="Migliaia 11 5 3" xfId="5758" xr:uid="{00000000-0005-0000-0000-0000A4070000}"/>
    <cellStyle name="Migliaia 11 6" xfId="4799" xr:uid="{00000000-0005-0000-0000-0000A5070000}"/>
    <cellStyle name="Migliaia 11 7" xfId="5751" xr:uid="{00000000-0005-0000-0000-0000A6070000}"/>
    <cellStyle name="Migliaia 12" xfId="508" xr:uid="{00000000-0005-0000-0000-0000A7070000}"/>
    <cellStyle name="Migliaia 12 2" xfId="509" xr:uid="{00000000-0005-0000-0000-0000A8070000}"/>
    <cellStyle name="Migliaia 12 2 2" xfId="2322" xr:uid="{00000000-0005-0000-0000-0000A9070000}"/>
    <cellStyle name="Migliaia 12 2 2 2" xfId="5382" xr:uid="{00000000-0005-0000-0000-0000AA070000}"/>
    <cellStyle name="Migliaia 12 2 2 3" xfId="6304" xr:uid="{00000000-0005-0000-0000-0000AB070000}"/>
    <cellStyle name="Migliaia 12 2 3" xfId="4867" xr:uid="{00000000-0005-0000-0000-0000AC070000}"/>
    <cellStyle name="Migliaia 12 2 4" xfId="5760" xr:uid="{00000000-0005-0000-0000-0000AD070000}"/>
    <cellStyle name="Migliaia 12 3" xfId="510" xr:uid="{00000000-0005-0000-0000-0000AE070000}"/>
    <cellStyle name="Migliaia 12 3 2" xfId="511" xr:uid="{00000000-0005-0000-0000-0000AF070000}"/>
    <cellStyle name="Migliaia 12 3 2 2" xfId="4951" xr:uid="{00000000-0005-0000-0000-0000B0070000}"/>
    <cellStyle name="Migliaia 12 3 2 3" xfId="5762" xr:uid="{00000000-0005-0000-0000-0000B1070000}"/>
    <cellStyle name="Migliaia 12 3 3" xfId="512" xr:uid="{00000000-0005-0000-0000-0000B2070000}"/>
    <cellStyle name="Migliaia 12 3 3 2" xfId="2324" xr:uid="{00000000-0005-0000-0000-0000B3070000}"/>
    <cellStyle name="Migliaia 12 3 3 2 2" xfId="5384" xr:uid="{00000000-0005-0000-0000-0000B4070000}"/>
    <cellStyle name="Migliaia 12 3 3 2 3" xfId="6306" xr:uid="{00000000-0005-0000-0000-0000B5070000}"/>
    <cellStyle name="Migliaia 12 3 3 3" xfId="4952" xr:uid="{00000000-0005-0000-0000-0000B6070000}"/>
    <cellStyle name="Migliaia 12 3 3 4" xfId="5763" xr:uid="{00000000-0005-0000-0000-0000B7070000}"/>
    <cellStyle name="Migliaia 12 3 4" xfId="2323" xr:uid="{00000000-0005-0000-0000-0000B8070000}"/>
    <cellStyle name="Migliaia 12 3 4 2" xfId="5383" xr:uid="{00000000-0005-0000-0000-0000B9070000}"/>
    <cellStyle name="Migliaia 12 3 4 3" xfId="6305" xr:uid="{00000000-0005-0000-0000-0000BA070000}"/>
    <cellStyle name="Migliaia 12 3 5" xfId="4950" xr:uid="{00000000-0005-0000-0000-0000BB070000}"/>
    <cellStyle name="Migliaia 12 3 6" xfId="5761" xr:uid="{00000000-0005-0000-0000-0000BC070000}"/>
    <cellStyle name="Migliaia 12 4" xfId="513" xr:uid="{00000000-0005-0000-0000-0000BD070000}"/>
    <cellStyle name="Migliaia 12 4 2" xfId="514" xr:uid="{00000000-0005-0000-0000-0000BE070000}"/>
    <cellStyle name="Migliaia 12 4 2 2" xfId="2326" xr:uid="{00000000-0005-0000-0000-0000BF070000}"/>
    <cellStyle name="Migliaia 12 4 2 2 2" xfId="5386" xr:uid="{00000000-0005-0000-0000-0000C0070000}"/>
    <cellStyle name="Migliaia 12 4 2 2 3" xfId="6308" xr:uid="{00000000-0005-0000-0000-0000C1070000}"/>
    <cellStyle name="Migliaia 12 4 2 3" xfId="4954" xr:uid="{00000000-0005-0000-0000-0000C2070000}"/>
    <cellStyle name="Migliaia 12 4 2 4" xfId="5765" xr:uid="{00000000-0005-0000-0000-0000C3070000}"/>
    <cellStyle name="Migliaia 12 4 3" xfId="2325" xr:uid="{00000000-0005-0000-0000-0000C4070000}"/>
    <cellStyle name="Migliaia 12 4 3 2" xfId="5385" xr:uid="{00000000-0005-0000-0000-0000C5070000}"/>
    <cellStyle name="Migliaia 12 4 3 3" xfId="6307" xr:uid="{00000000-0005-0000-0000-0000C6070000}"/>
    <cellStyle name="Migliaia 12 4 4" xfId="4953" xr:uid="{00000000-0005-0000-0000-0000C7070000}"/>
    <cellStyle name="Migliaia 12 4 5" xfId="5764" xr:uid="{00000000-0005-0000-0000-0000C8070000}"/>
    <cellStyle name="Migliaia 12 5" xfId="515" xr:uid="{00000000-0005-0000-0000-0000C9070000}"/>
    <cellStyle name="Migliaia 12 5 2" xfId="4955" xr:uid="{00000000-0005-0000-0000-0000CA070000}"/>
    <cellStyle name="Migliaia 12 5 3" xfId="5766" xr:uid="{00000000-0005-0000-0000-0000CB070000}"/>
    <cellStyle name="Migliaia 12 6" xfId="4800" xr:uid="{00000000-0005-0000-0000-0000CC070000}"/>
    <cellStyle name="Migliaia 12 7" xfId="5759" xr:uid="{00000000-0005-0000-0000-0000CD070000}"/>
    <cellStyle name="Migliaia 13" xfId="516" xr:uid="{00000000-0005-0000-0000-0000CE070000}"/>
    <cellStyle name="Migliaia 13 2" xfId="517" xr:uid="{00000000-0005-0000-0000-0000CF070000}"/>
    <cellStyle name="Migliaia 13 2 2" xfId="2327" xr:uid="{00000000-0005-0000-0000-0000D0070000}"/>
    <cellStyle name="Migliaia 13 2 2 2" xfId="5387" xr:uid="{00000000-0005-0000-0000-0000D1070000}"/>
    <cellStyle name="Migliaia 13 2 2 3" xfId="6309" xr:uid="{00000000-0005-0000-0000-0000D2070000}"/>
    <cellStyle name="Migliaia 13 2 3" xfId="4868" xr:uid="{00000000-0005-0000-0000-0000D3070000}"/>
    <cellStyle name="Migliaia 13 2 4" xfId="5768" xr:uid="{00000000-0005-0000-0000-0000D4070000}"/>
    <cellStyle name="Migliaia 13 3" xfId="518" xr:uid="{00000000-0005-0000-0000-0000D5070000}"/>
    <cellStyle name="Migliaia 13 3 2" xfId="519" xr:uid="{00000000-0005-0000-0000-0000D6070000}"/>
    <cellStyle name="Migliaia 13 3 2 2" xfId="4957" xr:uid="{00000000-0005-0000-0000-0000D7070000}"/>
    <cellStyle name="Migliaia 13 3 2 3" xfId="5770" xr:uid="{00000000-0005-0000-0000-0000D8070000}"/>
    <cellStyle name="Migliaia 13 3 3" xfId="520" xr:uid="{00000000-0005-0000-0000-0000D9070000}"/>
    <cellStyle name="Migliaia 13 3 3 2" xfId="2329" xr:uid="{00000000-0005-0000-0000-0000DA070000}"/>
    <cellStyle name="Migliaia 13 3 3 2 2" xfId="5389" xr:uid="{00000000-0005-0000-0000-0000DB070000}"/>
    <cellStyle name="Migliaia 13 3 3 2 3" xfId="6311" xr:uid="{00000000-0005-0000-0000-0000DC070000}"/>
    <cellStyle name="Migliaia 13 3 3 3" xfId="4958" xr:uid="{00000000-0005-0000-0000-0000DD070000}"/>
    <cellStyle name="Migliaia 13 3 3 4" xfId="5771" xr:uid="{00000000-0005-0000-0000-0000DE070000}"/>
    <cellStyle name="Migliaia 13 3 4" xfId="2328" xr:uid="{00000000-0005-0000-0000-0000DF070000}"/>
    <cellStyle name="Migliaia 13 3 4 2" xfId="5388" xr:uid="{00000000-0005-0000-0000-0000E0070000}"/>
    <cellStyle name="Migliaia 13 3 4 3" xfId="6310" xr:uid="{00000000-0005-0000-0000-0000E1070000}"/>
    <cellStyle name="Migliaia 13 3 5" xfId="4956" xr:uid="{00000000-0005-0000-0000-0000E2070000}"/>
    <cellStyle name="Migliaia 13 3 6" xfId="5769" xr:uid="{00000000-0005-0000-0000-0000E3070000}"/>
    <cellStyle name="Migliaia 13 4" xfId="521" xr:uid="{00000000-0005-0000-0000-0000E4070000}"/>
    <cellStyle name="Migliaia 13 4 2" xfId="522" xr:uid="{00000000-0005-0000-0000-0000E5070000}"/>
    <cellStyle name="Migliaia 13 4 2 2" xfId="2331" xr:uid="{00000000-0005-0000-0000-0000E6070000}"/>
    <cellStyle name="Migliaia 13 4 2 2 2" xfId="5391" xr:uid="{00000000-0005-0000-0000-0000E7070000}"/>
    <cellStyle name="Migliaia 13 4 2 2 3" xfId="6313" xr:uid="{00000000-0005-0000-0000-0000E8070000}"/>
    <cellStyle name="Migliaia 13 4 2 3" xfId="4960" xr:uid="{00000000-0005-0000-0000-0000E9070000}"/>
    <cellStyle name="Migliaia 13 4 2 4" xfId="5773" xr:uid="{00000000-0005-0000-0000-0000EA070000}"/>
    <cellStyle name="Migliaia 13 4 3" xfId="2330" xr:uid="{00000000-0005-0000-0000-0000EB070000}"/>
    <cellStyle name="Migliaia 13 4 3 2" xfId="5390" xr:uid="{00000000-0005-0000-0000-0000EC070000}"/>
    <cellStyle name="Migliaia 13 4 3 3" xfId="6312" xr:uid="{00000000-0005-0000-0000-0000ED070000}"/>
    <cellStyle name="Migliaia 13 4 4" xfId="4959" xr:uid="{00000000-0005-0000-0000-0000EE070000}"/>
    <cellStyle name="Migliaia 13 4 5" xfId="5772" xr:uid="{00000000-0005-0000-0000-0000EF070000}"/>
    <cellStyle name="Migliaia 13 5" xfId="523" xr:uid="{00000000-0005-0000-0000-0000F0070000}"/>
    <cellStyle name="Migliaia 13 5 2" xfId="4961" xr:uid="{00000000-0005-0000-0000-0000F1070000}"/>
    <cellStyle name="Migliaia 13 5 3" xfId="5774" xr:uid="{00000000-0005-0000-0000-0000F2070000}"/>
    <cellStyle name="Migliaia 13 6" xfId="4801" xr:uid="{00000000-0005-0000-0000-0000F3070000}"/>
    <cellStyle name="Migliaia 13 7" xfId="5767" xr:uid="{00000000-0005-0000-0000-0000F4070000}"/>
    <cellStyle name="Migliaia 14" xfId="524" xr:uid="{00000000-0005-0000-0000-0000F5070000}"/>
    <cellStyle name="Migliaia 14 2" xfId="525" xr:uid="{00000000-0005-0000-0000-0000F6070000}"/>
    <cellStyle name="Migliaia 14 2 2" xfId="2332" xr:uid="{00000000-0005-0000-0000-0000F7070000}"/>
    <cellStyle name="Migliaia 14 2 2 2" xfId="5392" xr:uid="{00000000-0005-0000-0000-0000F8070000}"/>
    <cellStyle name="Migliaia 14 2 2 3" xfId="6314" xr:uid="{00000000-0005-0000-0000-0000F9070000}"/>
    <cellStyle name="Migliaia 14 2 3" xfId="4869" xr:uid="{00000000-0005-0000-0000-0000FA070000}"/>
    <cellStyle name="Migliaia 14 2 4" xfId="5776" xr:uid="{00000000-0005-0000-0000-0000FB070000}"/>
    <cellStyle name="Migliaia 14 3" xfId="526" xr:uid="{00000000-0005-0000-0000-0000FC070000}"/>
    <cellStyle name="Migliaia 14 3 2" xfId="527" xr:uid="{00000000-0005-0000-0000-0000FD070000}"/>
    <cellStyle name="Migliaia 14 3 2 2" xfId="4963" xr:uid="{00000000-0005-0000-0000-0000FE070000}"/>
    <cellStyle name="Migliaia 14 3 2 3" xfId="5778" xr:uid="{00000000-0005-0000-0000-0000FF070000}"/>
    <cellStyle name="Migliaia 14 3 3" xfId="528" xr:uid="{00000000-0005-0000-0000-000000080000}"/>
    <cellStyle name="Migliaia 14 3 3 2" xfId="2334" xr:uid="{00000000-0005-0000-0000-000001080000}"/>
    <cellStyle name="Migliaia 14 3 3 2 2" xfId="5394" xr:uid="{00000000-0005-0000-0000-000002080000}"/>
    <cellStyle name="Migliaia 14 3 3 2 3" xfId="6316" xr:uid="{00000000-0005-0000-0000-000003080000}"/>
    <cellStyle name="Migliaia 14 3 3 3" xfId="4964" xr:uid="{00000000-0005-0000-0000-000004080000}"/>
    <cellStyle name="Migliaia 14 3 3 4" xfId="5779" xr:uid="{00000000-0005-0000-0000-000005080000}"/>
    <cellStyle name="Migliaia 14 3 4" xfId="2333" xr:uid="{00000000-0005-0000-0000-000006080000}"/>
    <cellStyle name="Migliaia 14 3 4 2" xfId="5393" xr:uid="{00000000-0005-0000-0000-000007080000}"/>
    <cellStyle name="Migliaia 14 3 4 3" xfId="6315" xr:uid="{00000000-0005-0000-0000-000008080000}"/>
    <cellStyle name="Migliaia 14 3 5" xfId="4962" xr:uid="{00000000-0005-0000-0000-000009080000}"/>
    <cellStyle name="Migliaia 14 3 6" xfId="5777" xr:uid="{00000000-0005-0000-0000-00000A080000}"/>
    <cellStyle name="Migliaia 14 4" xfId="529" xr:uid="{00000000-0005-0000-0000-00000B080000}"/>
    <cellStyle name="Migliaia 14 4 2" xfId="530" xr:uid="{00000000-0005-0000-0000-00000C080000}"/>
    <cellStyle name="Migliaia 14 4 2 2" xfId="2336" xr:uid="{00000000-0005-0000-0000-00000D080000}"/>
    <cellStyle name="Migliaia 14 4 2 2 2" xfId="5396" xr:uid="{00000000-0005-0000-0000-00000E080000}"/>
    <cellStyle name="Migliaia 14 4 2 2 3" xfId="6318" xr:uid="{00000000-0005-0000-0000-00000F080000}"/>
    <cellStyle name="Migliaia 14 4 2 3" xfId="4966" xr:uid="{00000000-0005-0000-0000-000010080000}"/>
    <cellStyle name="Migliaia 14 4 2 4" xfId="5781" xr:uid="{00000000-0005-0000-0000-000011080000}"/>
    <cellStyle name="Migliaia 14 4 3" xfId="2335" xr:uid="{00000000-0005-0000-0000-000012080000}"/>
    <cellStyle name="Migliaia 14 4 3 2" xfId="5395" xr:uid="{00000000-0005-0000-0000-000013080000}"/>
    <cellStyle name="Migliaia 14 4 3 3" xfId="6317" xr:uid="{00000000-0005-0000-0000-000014080000}"/>
    <cellStyle name="Migliaia 14 4 4" xfId="4965" xr:uid="{00000000-0005-0000-0000-000015080000}"/>
    <cellStyle name="Migliaia 14 4 5" xfId="5780" xr:uid="{00000000-0005-0000-0000-000016080000}"/>
    <cellStyle name="Migliaia 14 5" xfId="531" xr:uid="{00000000-0005-0000-0000-000017080000}"/>
    <cellStyle name="Migliaia 14 5 2" xfId="4967" xr:uid="{00000000-0005-0000-0000-000018080000}"/>
    <cellStyle name="Migliaia 14 5 3" xfId="5782" xr:uid="{00000000-0005-0000-0000-000019080000}"/>
    <cellStyle name="Migliaia 14 6" xfId="4802" xr:uid="{00000000-0005-0000-0000-00001A080000}"/>
    <cellStyle name="Migliaia 14 7" xfId="5775" xr:uid="{00000000-0005-0000-0000-00001B080000}"/>
    <cellStyle name="Migliaia 15" xfId="532" xr:uid="{00000000-0005-0000-0000-00001C080000}"/>
    <cellStyle name="Migliaia 15 2" xfId="533" xr:uid="{00000000-0005-0000-0000-00001D080000}"/>
    <cellStyle name="Migliaia 15 2 2" xfId="2337" xr:uid="{00000000-0005-0000-0000-00001E080000}"/>
    <cellStyle name="Migliaia 15 2 2 2" xfId="5397" xr:uid="{00000000-0005-0000-0000-00001F080000}"/>
    <cellStyle name="Migliaia 15 2 2 3" xfId="6319" xr:uid="{00000000-0005-0000-0000-000020080000}"/>
    <cellStyle name="Migliaia 15 2 3" xfId="4870" xr:uid="{00000000-0005-0000-0000-000021080000}"/>
    <cellStyle name="Migliaia 15 2 4" xfId="5784" xr:uid="{00000000-0005-0000-0000-000022080000}"/>
    <cellStyle name="Migliaia 15 3" xfId="534" xr:uid="{00000000-0005-0000-0000-000023080000}"/>
    <cellStyle name="Migliaia 15 3 2" xfId="535" xr:uid="{00000000-0005-0000-0000-000024080000}"/>
    <cellStyle name="Migliaia 15 3 2 2" xfId="4969" xr:uid="{00000000-0005-0000-0000-000025080000}"/>
    <cellStyle name="Migliaia 15 3 2 3" xfId="5786" xr:uid="{00000000-0005-0000-0000-000026080000}"/>
    <cellStyle name="Migliaia 15 3 3" xfId="536" xr:uid="{00000000-0005-0000-0000-000027080000}"/>
    <cellStyle name="Migliaia 15 3 3 2" xfId="2339" xr:uid="{00000000-0005-0000-0000-000028080000}"/>
    <cellStyle name="Migliaia 15 3 3 2 2" xfId="5399" xr:uid="{00000000-0005-0000-0000-000029080000}"/>
    <cellStyle name="Migliaia 15 3 3 2 3" xfId="6321" xr:uid="{00000000-0005-0000-0000-00002A080000}"/>
    <cellStyle name="Migliaia 15 3 3 3" xfId="4970" xr:uid="{00000000-0005-0000-0000-00002B080000}"/>
    <cellStyle name="Migliaia 15 3 3 4" xfId="5787" xr:uid="{00000000-0005-0000-0000-00002C080000}"/>
    <cellStyle name="Migliaia 15 3 4" xfId="2338" xr:uid="{00000000-0005-0000-0000-00002D080000}"/>
    <cellStyle name="Migliaia 15 3 4 2" xfId="5398" xr:uid="{00000000-0005-0000-0000-00002E080000}"/>
    <cellStyle name="Migliaia 15 3 4 3" xfId="6320" xr:uid="{00000000-0005-0000-0000-00002F080000}"/>
    <cellStyle name="Migliaia 15 3 5" xfId="4968" xr:uid="{00000000-0005-0000-0000-000030080000}"/>
    <cellStyle name="Migliaia 15 3 6" xfId="5785" xr:uid="{00000000-0005-0000-0000-000031080000}"/>
    <cellStyle name="Migliaia 15 4" xfId="537" xr:uid="{00000000-0005-0000-0000-000032080000}"/>
    <cellStyle name="Migliaia 15 4 2" xfId="538" xr:uid="{00000000-0005-0000-0000-000033080000}"/>
    <cellStyle name="Migliaia 15 4 2 2" xfId="2341" xr:uid="{00000000-0005-0000-0000-000034080000}"/>
    <cellStyle name="Migliaia 15 4 2 2 2" xfId="5401" xr:uid="{00000000-0005-0000-0000-000035080000}"/>
    <cellStyle name="Migliaia 15 4 2 2 3" xfId="6323" xr:uid="{00000000-0005-0000-0000-000036080000}"/>
    <cellStyle name="Migliaia 15 4 2 3" xfId="4972" xr:uid="{00000000-0005-0000-0000-000037080000}"/>
    <cellStyle name="Migliaia 15 4 2 4" xfId="5789" xr:uid="{00000000-0005-0000-0000-000038080000}"/>
    <cellStyle name="Migliaia 15 4 3" xfId="2340" xr:uid="{00000000-0005-0000-0000-000039080000}"/>
    <cellStyle name="Migliaia 15 4 3 2" xfId="5400" xr:uid="{00000000-0005-0000-0000-00003A080000}"/>
    <cellStyle name="Migliaia 15 4 3 3" xfId="6322" xr:uid="{00000000-0005-0000-0000-00003B080000}"/>
    <cellStyle name="Migliaia 15 4 4" xfId="4971" xr:uid="{00000000-0005-0000-0000-00003C080000}"/>
    <cellStyle name="Migliaia 15 4 5" xfId="5788" xr:uid="{00000000-0005-0000-0000-00003D080000}"/>
    <cellStyle name="Migliaia 15 5" xfId="539" xr:uid="{00000000-0005-0000-0000-00003E080000}"/>
    <cellStyle name="Migliaia 15 5 2" xfId="4973" xr:uid="{00000000-0005-0000-0000-00003F080000}"/>
    <cellStyle name="Migliaia 15 5 3" xfId="5790" xr:uid="{00000000-0005-0000-0000-000040080000}"/>
    <cellStyle name="Migliaia 15 6" xfId="4803" xr:uid="{00000000-0005-0000-0000-000041080000}"/>
    <cellStyle name="Migliaia 15 7" xfId="5783" xr:uid="{00000000-0005-0000-0000-000042080000}"/>
    <cellStyle name="Migliaia 16" xfId="540" xr:uid="{00000000-0005-0000-0000-000043080000}"/>
    <cellStyle name="Migliaia 16 2" xfId="541" xr:uid="{00000000-0005-0000-0000-000044080000}"/>
    <cellStyle name="Migliaia 16 2 2" xfId="2342" xr:uid="{00000000-0005-0000-0000-000045080000}"/>
    <cellStyle name="Migliaia 16 2 2 2" xfId="5402" xr:uid="{00000000-0005-0000-0000-000046080000}"/>
    <cellStyle name="Migliaia 16 2 2 3" xfId="6324" xr:uid="{00000000-0005-0000-0000-000047080000}"/>
    <cellStyle name="Migliaia 16 2 3" xfId="4871" xr:uid="{00000000-0005-0000-0000-000048080000}"/>
    <cellStyle name="Migliaia 16 2 4" xfId="5792" xr:uid="{00000000-0005-0000-0000-000049080000}"/>
    <cellStyle name="Migliaia 16 3" xfId="542" xr:uid="{00000000-0005-0000-0000-00004A080000}"/>
    <cellStyle name="Migliaia 16 3 2" xfId="543" xr:uid="{00000000-0005-0000-0000-00004B080000}"/>
    <cellStyle name="Migliaia 16 3 2 2" xfId="4975" xr:uid="{00000000-0005-0000-0000-00004C080000}"/>
    <cellStyle name="Migliaia 16 3 2 3" xfId="5794" xr:uid="{00000000-0005-0000-0000-00004D080000}"/>
    <cellStyle name="Migliaia 16 3 3" xfId="544" xr:uid="{00000000-0005-0000-0000-00004E080000}"/>
    <cellStyle name="Migliaia 16 3 3 2" xfId="2344" xr:uid="{00000000-0005-0000-0000-00004F080000}"/>
    <cellStyle name="Migliaia 16 3 3 2 2" xfId="5404" xr:uid="{00000000-0005-0000-0000-000050080000}"/>
    <cellStyle name="Migliaia 16 3 3 2 3" xfId="6326" xr:uid="{00000000-0005-0000-0000-000051080000}"/>
    <cellStyle name="Migliaia 16 3 3 3" xfId="4976" xr:uid="{00000000-0005-0000-0000-000052080000}"/>
    <cellStyle name="Migliaia 16 3 3 4" xfId="5795" xr:uid="{00000000-0005-0000-0000-000053080000}"/>
    <cellStyle name="Migliaia 16 3 4" xfId="2343" xr:uid="{00000000-0005-0000-0000-000054080000}"/>
    <cellStyle name="Migliaia 16 3 4 2" xfId="5403" xr:uid="{00000000-0005-0000-0000-000055080000}"/>
    <cellStyle name="Migliaia 16 3 4 3" xfId="6325" xr:uid="{00000000-0005-0000-0000-000056080000}"/>
    <cellStyle name="Migliaia 16 3 5" xfId="4974" xr:uid="{00000000-0005-0000-0000-000057080000}"/>
    <cellStyle name="Migliaia 16 3 6" xfId="5793" xr:uid="{00000000-0005-0000-0000-000058080000}"/>
    <cellStyle name="Migliaia 16 4" xfId="545" xr:uid="{00000000-0005-0000-0000-000059080000}"/>
    <cellStyle name="Migliaia 16 4 2" xfId="546" xr:uid="{00000000-0005-0000-0000-00005A080000}"/>
    <cellStyle name="Migliaia 16 4 2 2" xfId="2346" xr:uid="{00000000-0005-0000-0000-00005B080000}"/>
    <cellStyle name="Migliaia 16 4 2 2 2" xfId="5406" xr:uid="{00000000-0005-0000-0000-00005C080000}"/>
    <cellStyle name="Migliaia 16 4 2 2 3" xfId="6328" xr:uid="{00000000-0005-0000-0000-00005D080000}"/>
    <cellStyle name="Migliaia 16 4 2 3" xfId="4978" xr:uid="{00000000-0005-0000-0000-00005E080000}"/>
    <cellStyle name="Migliaia 16 4 2 4" xfId="5797" xr:uid="{00000000-0005-0000-0000-00005F080000}"/>
    <cellStyle name="Migliaia 16 4 3" xfId="2345" xr:uid="{00000000-0005-0000-0000-000060080000}"/>
    <cellStyle name="Migliaia 16 4 3 2" xfId="5405" xr:uid="{00000000-0005-0000-0000-000061080000}"/>
    <cellStyle name="Migliaia 16 4 3 3" xfId="6327" xr:uid="{00000000-0005-0000-0000-000062080000}"/>
    <cellStyle name="Migliaia 16 4 4" xfId="4977" xr:uid="{00000000-0005-0000-0000-000063080000}"/>
    <cellStyle name="Migliaia 16 4 5" xfId="5796" xr:uid="{00000000-0005-0000-0000-000064080000}"/>
    <cellStyle name="Migliaia 16 5" xfId="547" xr:uid="{00000000-0005-0000-0000-000065080000}"/>
    <cellStyle name="Migliaia 16 5 2" xfId="4979" xr:uid="{00000000-0005-0000-0000-000066080000}"/>
    <cellStyle name="Migliaia 16 5 3" xfId="5798" xr:uid="{00000000-0005-0000-0000-000067080000}"/>
    <cellStyle name="Migliaia 16 6" xfId="4804" xr:uid="{00000000-0005-0000-0000-000068080000}"/>
    <cellStyle name="Migliaia 16 7" xfId="5791" xr:uid="{00000000-0005-0000-0000-000069080000}"/>
    <cellStyle name="Migliaia 17" xfId="548" xr:uid="{00000000-0005-0000-0000-00006A080000}"/>
    <cellStyle name="Migliaia 17 2" xfId="549" xr:uid="{00000000-0005-0000-0000-00006B080000}"/>
    <cellStyle name="Migliaia 17 2 2" xfId="2347" xr:uid="{00000000-0005-0000-0000-00006C080000}"/>
    <cellStyle name="Migliaia 17 2 2 2" xfId="5407" xr:uid="{00000000-0005-0000-0000-00006D080000}"/>
    <cellStyle name="Migliaia 17 2 2 3" xfId="6329" xr:uid="{00000000-0005-0000-0000-00006E080000}"/>
    <cellStyle name="Migliaia 17 2 3" xfId="4872" xr:uid="{00000000-0005-0000-0000-00006F080000}"/>
    <cellStyle name="Migliaia 17 2 4" xfId="5800" xr:uid="{00000000-0005-0000-0000-000070080000}"/>
    <cellStyle name="Migliaia 17 3" xfId="550" xr:uid="{00000000-0005-0000-0000-000071080000}"/>
    <cellStyle name="Migliaia 17 3 2" xfId="551" xr:uid="{00000000-0005-0000-0000-000072080000}"/>
    <cellStyle name="Migliaia 17 3 2 2" xfId="4981" xr:uid="{00000000-0005-0000-0000-000073080000}"/>
    <cellStyle name="Migliaia 17 3 2 3" xfId="5802" xr:uid="{00000000-0005-0000-0000-000074080000}"/>
    <cellStyle name="Migliaia 17 3 3" xfId="552" xr:uid="{00000000-0005-0000-0000-000075080000}"/>
    <cellStyle name="Migliaia 17 3 3 2" xfId="2349" xr:uid="{00000000-0005-0000-0000-000076080000}"/>
    <cellStyle name="Migliaia 17 3 3 2 2" xfId="5409" xr:uid="{00000000-0005-0000-0000-000077080000}"/>
    <cellStyle name="Migliaia 17 3 3 2 3" xfId="6331" xr:uid="{00000000-0005-0000-0000-000078080000}"/>
    <cellStyle name="Migliaia 17 3 3 3" xfId="4982" xr:uid="{00000000-0005-0000-0000-000079080000}"/>
    <cellStyle name="Migliaia 17 3 3 4" xfId="5803" xr:uid="{00000000-0005-0000-0000-00007A080000}"/>
    <cellStyle name="Migliaia 17 3 4" xfId="2348" xr:uid="{00000000-0005-0000-0000-00007B080000}"/>
    <cellStyle name="Migliaia 17 3 4 2" xfId="5408" xr:uid="{00000000-0005-0000-0000-00007C080000}"/>
    <cellStyle name="Migliaia 17 3 4 3" xfId="6330" xr:uid="{00000000-0005-0000-0000-00007D080000}"/>
    <cellStyle name="Migliaia 17 3 5" xfId="4980" xr:uid="{00000000-0005-0000-0000-00007E080000}"/>
    <cellStyle name="Migliaia 17 3 6" xfId="5801" xr:uid="{00000000-0005-0000-0000-00007F080000}"/>
    <cellStyle name="Migliaia 17 4" xfId="553" xr:uid="{00000000-0005-0000-0000-000080080000}"/>
    <cellStyle name="Migliaia 17 4 2" xfId="554" xr:uid="{00000000-0005-0000-0000-000081080000}"/>
    <cellStyle name="Migliaia 17 4 2 2" xfId="2351" xr:uid="{00000000-0005-0000-0000-000082080000}"/>
    <cellStyle name="Migliaia 17 4 2 2 2" xfId="5411" xr:uid="{00000000-0005-0000-0000-000083080000}"/>
    <cellStyle name="Migliaia 17 4 2 2 3" xfId="6333" xr:uid="{00000000-0005-0000-0000-000084080000}"/>
    <cellStyle name="Migliaia 17 4 2 3" xfId="4984" xr:uid="{00000000-0005-0000-0000-000085080000}"/>
    <cellStyle name="Migliaia 17 4 2 4" xfId="5805" xr:uid="{00000000-0005-0000-0000-000086080000}"/>
    <cellStyle name="Migliaia 17 4 3" xfId="2350" xr:uid="{00000000-0005-0000-0000-000087080000}"/>
    <cellStyle name="Migliaia 17 4 3 2" xfId="5410" xr:uid="{00000000-0005-0000-0000-000088080000}"/>
    <cellStyle name="Migliaia 17 4 3 3" xfId="6332" xr:uid="{00000000-0005-0000-0000-000089080000}"/>
    <cellStyle name="Migliaia 17 4 4" xfId="4983" xr:uid="{00000000-0005-0000-0000-00008A080000}"/>
    <cellStyle name="Migliaia 17 4 5" xfId="5804" xr:uid="{00000000-0005-0000-0000-00008B080000}"/>
    <cellStyle name="Migliaia 17 5" xfId="555" xr:uid="{00000000-0005-0000-0000-00008C080000}"/>
    <cellStyle name="Migliaia 17 5 2" xfId="4985" xr:uid="{00000000-0005-0000-0000-00008D080000}"/>
    <cellStyle name="Migliaia 17 5 3" xfId="5806" xr:uid="{00000000-0005-0000-0000-00008E080000}"/>
    <cellStyle name="Migliaia 17 6" xfId="4805" xr:uid="{00000000-0005-0000-0000-00008F080000}"/>
    <cellStyle name="Migliaia 17 7" xfId="5799" xr:uid="{00000000-0005-0000-0000-000090080000}"/>
    <cellStyle name="Migliaia 18" xfId="556" xr:uid="{00000000-0005-0000-0000-000091080000}"/>
    <cellStyle name="Migliaia 18 2" xfId="557" xr:uid="{00000000-0005-0000-0000-000092080000}"/>
    <cellStyle name="Migliaia 18 2 2" xfId="2352" xr:uid="{00000000-0005-0000-0000-000093080000}"/>
    <cellStyle name="Migliaia 18 2 2 2" xfId="5412" xr:uid="{00000000-0005-0000-0000-000094080000}"/>
    <cellStyle name="Migliaia 18 2 2 3" xfId="6334" xr:uid="{00000000-0005-0000-0000-000095080000}"/>
    <cellStyle name="Migliaia 18 2 3" xfId="4873" xr:uid="{00000000-0005-0000-0000-000096080000}"/>
    <cellStyle name="Migliaia 18 2 4" xfId="5808" xr:uid="{00000000-0005-0000-0000-000097080000}"/>
    <cellStyle name="Migliaia 18 3" xfId="558" xr:uid="{00000000-0005-0000-0000-000098080000}"/>
    <cellStyle name="Migliaia 18 3 2" xfId="559" xr:uid="{00000000-0005-0000-0000-000099080000}"/>
    <cellStyle name="Migliaia 18 3 2 2" xfId="4987" xr:uid="{00000000-0005-0000-0000-00009A080000}"/>
    <cellStyle name="Migliaia 18 3 2 3" xfId="5810" xr:uid="{00000000-0005-0000-0000-00009B080000}"/>
    <cellStyle name="Migliaia 18 3 3" xfId="560" xr:uid="{00000000-0005-0000-0000-00009C080000}"/>
    <cellStyle name="Migliaia 18 3 3 2" xfId="2354" xr:uid="{00000000-0005-0000-0000-00009D080000}"/>
    <cellStyle name="Migliaia 18 3 3 2 2" xfId="5414" xr:uid="{00000000-0005-0000-0000-00009E080000}"/>
    <cellStyle name="Migliaia 18 3 3 2 3" xfId="6336" xr:uid="{00000000-0005-0000-0000-00009F080000}"/>
    <cellStyle name="Migliaia 18 3 3 3" xfId="4988" xr:uid="{00000000-0005-0000-0000-0000A0080000}"/>
    <cellStyle name="Migliaia 18 3 3 4" xfId="5811" xr:uid="{00000000-0005-0000-0000-0000A1080000}"/>
    <cellStyle name="Migliaia 18 3 4" xfId="2353" xr:uid="{00000000-0005-0000-0000-0000A2080000}"/>
    <cellStyle name="Migliaia 18 3 4 2" xfId="5413" xr:uid="{00000000-0005-0000-0000-0000A3080000}"/>
    <cellStyle name="Migliaia 18 3 4 3" xfId="6335" xr:uid="{00000000-0005-0000-0000-0000A4080000}"/>
    <cellStyle name="Migliaia 18 3 5" xfId="4986" xr:uid="{00000000-0005-0000-0000-0000A5080000}"/>
    <cellStyle name="Migliaia 18 3 6" xfId="5809" xr:uid="{00000000-0005-0000-0000-0000A6080000}"/>
    <cellStyle name="Migliaia 18 4" xfId="561" xr:uid="{00000000-0005-0000-0000-0000A7080000}"/>
    <cellStyle name="Migliaia 18 4 2" xfId="562" xr:uid="{00000000-0005-0000-0000-0000A8080000}"/>
    <cellStyle name="Migliaia 18 4 2 2" xfId="2356" xr:uid="{00000000-0005-0000-0000-0000A9080000}"/>
    <cellStyle name="Migliaia 18 4 2 2 2" xfId="5416" xr:uid="{00000000-0005-0000-0000-0000AA080000}"/>
    <cellStyle name="Migliaia 18 4 2 2 3" xfId="6338" xr:uid="{00000000-0005-0000-0000-0000AB080000}"/>
    <cellStyle name="Migliaia 18 4 2 3" xfId="4990" xr:uid="{00000000-0005-0000-0000-0000AC080000}"/>
    <cellStyle name="Migliaia 18 4 2 4" xfId="5813" xr:uid="{00000000-0005-0000-0000-0000AD080000}"/>
    <cellStyle name="Migliaia 18 4 3" xfId="2355" xr:uid="{00000000-0005-0000-0000-0000AE080000}"/>
    <cellStyle name="Migliaia 18 4 3 2" xfId="5415" xr:uid="{00000000-0005-0000-0000-0000AF080000}"/>
    <cellStyle name="Migliaia 18 4 3 3" xfId="6337" xr:uid="{00000000-0005-0000-0000-0000B0080000}"/>
    <cellStyle name="Migliaia 18 4 4" xfId="4989" xr:uid="{00000000-0005-0000-0000-0000B1080000}"/>
    <cellStyle name="Migliaia 18 4 5" xfId="5812" xr:uid="{00000000-0005-0000-0000-0000B2080000}"/>
    <cellStyle name="Migliaia 18 5" xfId="563" xr:uid="{00000000-0005-0000-0000-0000B3080000}"/>
    <cellStyle name="Migliaia 18 5 2" xfId="4991" xr:uid="{00000000-0005-0000-0000-0000B4080000}"/>
    <cellStyle name="Migliaia 18 5 3" xfId="5814" xr:uid="{00000000-0005-0000-0000-0000B5080000}"/>
    <cellStyle name="Migliaia 18 6" xfId="4806" xr:uid="{00000000-0005-0000-0000-0000B6080000}"/>
    <cellStyle name="Migliaia 18 7" xfId="5807" xr:uid="{00000000-0005-0000-0000-0000B7080000}"/>
    <cellStyle name="Migliaia 19" xfId="564" xr:uid="{00000000-0005-0000-0000-0000B8080000}"/>
    <cellStyle name="Migliaia 19 2" xfId="565" xr:uid="{00000000-0005-0000-0000-0000B9080000}"/>
    <cellStyle name="Migliaia 19 2 2" xfId="2357" xr:uid="{00000000-0005-0000-0000-0000BA080000}"/>
    <cellStyle name="Migliaia 19 2 2 2" xfId="5417" xr:uid="{00000000-0005-0000-0000-0000BB080000}"/>
    <cellStyle name="Migliaia 19 2 2 3" xfId="6339" xr:uid="{00000000-0005-0000-0000-0000BC080000}"/>
    <cellStyle name="Migliaia 19 2 3" xfId="4874" xr:uid="{00000000-0005-0000-0000-0000BD080000}"/>
    <cellStyle name="Migliaia 19 2 4" xfId="5816" xr:uid="{00000000-0005-0000-0000-0000BE080000}"/>
    <cellStyle name="Migliaia 19 3" xfId="566" xr:uid="{00000000-0005-0000-0000-0000BF080000}"/>
    <cellStyle name="Migliaia 19 3 2" xfId="567" xr:uid="{00000000-0005-0000-0000-0000C0080000}"/>
    <cellStyle name="Migliaia 19 3 2 2" xfId="4993" xr:uid="{00000000-0005-0000-0000-0000C1080000}"/>
    <cellStyle name="Migliaia 19 3 2 3" xfId="5818" xr:uid="{00000000-0005-0000-0000-0000C2080000}"/>
    <cellStyle name="Migliaia 19 3 3" xfId="568" xr:uid="{00000000-0005-0000-0000-0000C3080000}"/>
    <cellStyle name="Migliaia 19 3 3 2" xfId="2359" xr:uid="{00000000-0005-0000-0000-0000C4080000}"/>
    <cellStyle name="Migliaia 19 3 3 2 2" xfId="5419" xr:uid="{00000000-0005-0000-0000-0000C5080000}"/>
    <cellStyle name="Migliaia 19 3 3 2 3" xfId="6341" xr:uid="{00000000-0005-0000-0000-0000C6080000}"/>
    <cellStyle name="Migliaia 19 3 3 3" xfId="4994" xr:uid="{00000000-0005-0000-0000-0000C7080000}"/>
    <cellStyle name="Migliaia 19 3 3 4" xfId="5819" xr:uid="{00000000-0005-0000-0000-0000C8080000}"/>
    <cellStyle name="Migliaia 19 3 4" xfId="2358" xr:uid="{00000000-0005-0000-0000-0000C9080000}"/>
    <cellStyle name="Migliaia 19 3 4 2" xfId="5418" xr:uid="{00000000-0005-0000-0000-0000CA080000}"/>
    <cellStyle name="Migliaia 19 3 4 3" xfId="6340" xr:uid="{00000000-0005-0000-0000-0000CB080000}"/>
    <cellStyle name="Migliaia 19 3 5" xfId="4992" xr:uid="{00000000-0005-0000-0000-0000CC080000}"/>
    <cellStyle name="Migliaia 19 3 6" xfId="5817" xr:uid="{00000000-0005-0000-0000-0000CD080000}"/>
    <cellStyle name="Migliaia 19 4" xfId="569" xr:uid="{00000000-0005-0000-0000-0000CE080000}"/>
    <cellStyle name="Migliaia 19 4 2" xfId="570" xr:uid="{00000000-0005-0000-0000-0000CF080000}"/>
    <cellStyle name="Migliaia 19 4 2 2" xfId="2361" xr:uid="{00000000-0005-0000-0000-0000D0080000}"/>
    <cellStyle name="Migliaia 19 4 2 2 2" xfId="5421" xr:uid="{00000000-0005-0000-0000-0000D1080000}"/>
    <cellStyle name="Migliaia 19 4 2 2 3" xfId="6343" xr:uid="{00000000-0005-0000-0000-0000D2080000}"/>
    <cellStyle name="Migliaia 19 4 2 3" xfId="4996" xr:uid="{00000000-0005-0000-0000-0000D3080000}"/>
    <cellStyle name="Migliaia 19 4 2 4" xfId="5821" xr:uid="{00000000-0005-0000-0000-0000D4080000}"/>
    <cellStyle name="Migliaia 19 4 3" xfId="2360" xr:uid="{00000000-0005-0000-0000-0000D5080000}"/>
    <cellStyle name="Migliaia 19 4 3 2" xfId="5420" xr:uid="{00000000-0005-0000-0000-0000D6080000}"/>
    <cellStyle name="Migliaia 19 4 3 3" xfId="6342" xr:uid="{00000000-0005-0000-0000-0000D7080000}"/>
    <cellStyle name="Migliaia 19 4 4" xfId="4995" xr:uid="{00000000-0005-0000-0000-0000D8080000}"/>
    <cellStyle name="Migliaia 19 4 5" xfId="5820" xr:uid="{00000000-0005-0000-0000-0000D9080000}"/>
    <cellStyle name="Migliaia 19 5" xfId="571" xr:uid="{00000000-0005-0000-0000-0000DA080000}"/>
    <cellStyle name="Migliaia 19 5 2" xfId="4997" xr:uid="{00000000-0005-0000-0000-0000DB080000}"/>
    <cellStyle name="Migliaia 19 5 3" xfId="5822" xr:uid="{00000000-0005-0000-0000-0000DC080000}"/>
    <cellStyle name="Migliaia 19 6" xfId="4807" xr:uid="{00000000-0005-0000-0000-0000DD080000}"/>
    <cellStyle name="Migliaia 19 7" xfId="5815" xr:uid="{00000000-0005-0000-0000-0000DE080000}"/>
    <cellStyle name="Migliaia 2" xfId="572" xr:uid="{00000000-0005-0000-0000-0000DF080000}"/>
    <cellStyle name="Migliaia 2 2" xfId="573" xr:uid="{00000000-0005-0000-0000-0000E0080000}"/>
    <cellStyle name="Migliaia 2 2 2" xfId="2068" xr:uid="{00000000-0005-0000-0000-0000E1080000}"/>
    <cellStyle name="Migliaia 2 2 2 2" xfId="5367" xr:uid="{00000000-0005-0000-0000-0000E2080000}"/>
    <cellStyle name="Migliaia 2 2 2 3" xfId="6289" xr:uid="{00000000-0005-0000-0000-0000E3080000}"/>
    <cellStyle name="Migliaia 2 2 3" xfId="4809" xr:uid="{00000000-0005-0000-0000-0000E4080000}"/>
    <cellStyle name="Migliaia 2 2 4" xfId="5824" xr:uid="{00000000-0005-0000-0000-0000E5080000}"/>
    <cellStyle name="Migliaia 2 3" xfId="574" xr:uid="{00000000-0005-0000-0000-0000E6080000}"/>
    <cellStyle name="Migliaia 2 3 2" xfId="2069" xr:uid="{00000000-0005-0000-0000-0000E7080000}"/>
    <cellStyle name="Migliaia 2 3 2 2" xfId="5368" xr:uid="{00000000-0005-0000-0000-0000E8080000}"/>
    <cellStyle name="Migliaia 2 3 2 3" xfId="6290" xr:uid="{00000000-0005-0000-0000-0000E9080000}"/>
    <cellStyle name="Migliaia 2 3 3" xfId="4810" xr:uid="{00000000-0005-0000-0000-0000EA080000}"/>
    <cellStyle name="Migliaia 2 3 4" xfId="5825" xr:uid="{00000000-0005-0000-0000-0000EB080000}"/>
    <cellStyle name="Migliaia 2 4" xfId="575" xr:uid="{00000000-0005-0000-0000-0000EC080000}"/>
    <cellStyle name="Migliaia 2 4 2" xfId="576" xr:uid="{00000000-0005-0000-0000-0000ED080000}"/>
    <cellStyle name="Migliaia 2 4 2 2" xfId="4999" xr:uid="{00000000-0005-0000-0000-0000EE080000}"/>
    <cellStyle name="Migliaia 2 4 2 3" xfId="5827" xr:uid="{00000000-0005-0000-0000-0000EF080000}"/>
    <cellStyle name="Migliaia 2 4 3" xfId="577" xr:uid="{00000000-0005-0000-0000-0000F0080000}"/>
    <cellStyle name="Migliaia 2 4 3 2" xfId="2363" xr:uid="{00000000-0005-0000-0000-0000F1080000}"/>
    <cellStyle name="Migliaia 2 4 3 2 2" xfId="5423" xr:uid="{00000000-0005-0000-0000-0000F2080000}"/>
    <cellStyle name="Migliaia 2 4 3 2 3" xfId="6345" xr:uid="{00000000-0005-0000-0000-0000F3080000}"/>
    <cellStyle name="Migliaia 2 4 3 3" xfId="5000" xr:uid="{00000000-0005-0000-0000-0000F4080000}"/>
    <cellStyle name="Migliaia 2 4 3 4" xfId="5828" xr:uid="{00000000-0005-0000-0000-0000F5080000}"/>
    <cellStyle name="Migliaia 2 4 4" xfId="2362" xr:uid="{00000000-0005-0000-0000-0000F6080000}"/>
    <cellStyle name="Migliaia 2 4 4 2" xfId="5422" xr:uid="{00000000-0005-0000-0000-0000F7080000}"/>
    <cellStyle name="Migliaia 2 4 4 3" xfId="6344" xr:uid="{00000000-0005-0000-0000-0000F8080000}"/>
    <cellStyle name="Migliaia 2 4 5" xfId="4998" xr:uid="{00000000-0005-0000-0000-0000F9080000}"/>
    <cellStyle name="Migliaia 2 4 6" xfId="5826" xr:uid="{00000000-0005-0000-0000-0000FA080000}"/>
    <cellStyle name="Migliaia 2 5" xfId="578" xr:uid="{00000000-0005-0000-0000-0000FB080000}"/>
    <cellStyle name="Migliaia 2 5 2" xfId="579" xr:uid="{00000000-0005-0000-0000-0000FC080000}"/>
    <cellStyle name="Migliaia 2 5 2 2" xfId="2365" xr:uid="{00000000-0005-0000-0000-0000FD080000}"/>
    <cellStyle name="Migliaia 2 5 2 2 2" xfId="5425" xr:uid="{00000000-0005-0000-0000-0000FE080000}"/>
    <cellStyle name="Migliaia 2 5 2 2 3" xfId="6347" xr:uid="{00000000-0005-0000-0000-0000FF080000}"/>
    <cellStyle name="Migliaia 2 5 2 3" xfId="5002" xr:uid="{00000000-0005-0000-0000-000000090000}"/>
    <cellStyle name="Migliaia 2 5 2 4" xfId="5830" xr:uid="{00000000-0005-0000-0000-000001090000}"/>
    <cellStyle name="Migliaia 2 5 3" xfId="2364" xr:uid="{00000000-0005-0000-0000-000002090000}"/>
    <cellStyle name="Migliaia 2 5 3 2" xfId="5424" xr:uid="{00000000-0005-0000-0000-000003090000}"/>
    <cellStyle name="Migliaia 2 5 3 3" xfId="6346" xr:uid="{00000000-0005-0000-0000-000004090000}"/>
    <cellStyle name="Migliaia 2 5 4" xfId="5001" xr:uid="{00000000-0005-0000-0000-000005090000}"/>
    <cellStyle name="Migliaia 2 5 5" xfId="5829" xr:uid="{00000000-0005-0000-0000-000006090000}"/>
    <cellStyle name="Migliaia 2 6" xfId="580" xr:uid="{00000000-0005-0000-0000-000007090000}"/>
    <cellStyle name="Migliaia 2 6 2" xfId="5003" xr:uid="{00000000-0005-0000-0000-000008090000}"/>
    <cellStyle name="Migliaia 2 6 3" xfId="5831" xr:uid="{00000000-0005-0000-0000-000009090000}"/>
    <cellStyle name="Migliaia 2 7" xfId="4808" xr:uid="{00000000-0005-0000-0000-00000A090000}"/>
    <cellStyle name="Migliaia 2 8" xfId="5823" xr:uid="{00000000-0005-0000-0000-00000B090000}"/>
    <cellStyle name="Migliaia 2_Domestico_reg&amp;naz" xfId="581" xr:uid="{00000000-0005-0000-0000-00000C090000}"/>
    <cellStyle name="Migliaia 20" xfId="582" xr:uid="{00000000-0005-0000-0000-00000D090000}"/>
    <cellStyle name="Migliaia 20 2" xfId="583" xr:uid="{00000000-0005-0000-0000-00000E090000}"/>
    <cellStyle name="Migliaia 20 2 2" xfId="2366" xr:uid="{00000000-0005-0000-0000-00000F090000}"/>
    <cellStyle name="Migliaia 20 2 2 2" xfId="5426" xr:uid="{00000000-0005-0000-0000-000010090000}"/>
    <cellStyle name="Migliaia 20 2 2 3" xfId="6348" xr:uid="{00000000-0005-0000-0000-000011090000}"/>
    <cellStyle name="Migliaia 20 2 3" xfId="4875" xr:uid="{00000000-0005-0000-0000-000012090000}"/>
    <cellStyle name="Migliaia 20 2 4" xfId="5833" xr:uid="{00000000-0005-0000-0000-000013090000}"/>
    <cellStyle name="Migliaia 20 3" xfId="584" xr:uid="{00000000-0005-0000-0000-000014090000}"/>
    <cellStyle name="Migliaia 20 3 2" xfId="585" xr:uid="{00000000-0005-0000-0000-000015090000}"/>
    <cellStyle name="Migliaia 20 3 2 2" xfId="5005" xr:uid="{00000000-0005-0000-0000-000016090000}"/>
    <cellStyle name="Migliaia 20 3 2 3" xfId="5835" xr:uid="{00000000-0005-0000-0000-000017090000}"/>
    <cellStyle name="Migliaia 20 3 3" xfId="586" xr:uid="{00000000-0005-0000-0000-000018090000}"/>
    <cellStyle name="Migliaia 20 3 3 2" xfId="2368" xr:uid="{00000000-0005-0000-0000-000019090000}"/>
    <cellStyle name="Migliaia 20 3 3 2 2" xfId="5428" xr:uid="{00000000-0005-0000-0000-00001A090000}"/>
    <cellStyle name="Migliaia 20 3 3 2 3" xfId="6350" xr:uid="{00000000-0005-0000-0000-00001B090000}"/>
    <cellStyle name="Migliaia 20 3 3 3" xfId="5006" xr:uid="{00000000-0005-0000-0000-00001C090000}"/>
    <cellStyle name="Migliaia 20 3 3 4" xfId="5836" xr:uid="{00000000-0005-0000-0000-00001D090000}"/>
    <cellStyle name="Migliaia 20 3 4" xfId="2367" xr:uid="{00000000-0005-0000-0000-00001E090000}"/>
    <cellStyle name="Migliaia 20 3 4 2" xfId="5427" xr:uid="{00000000-0005-0000-0000-00001F090000}"/>
    <cellStyle name="Migliaia 20 3 4 3" xfId="6349" xr:uid="{00000000-0005-0000-0000-000020090000}"/>
    <cellStyle name="Migliaia 20 3 5" xfId="5004" xr:uid="{00000000-0005-0000-0000-000021090000}"/>
    <cellStyle name="Migliaia 20 3 6" xfId="5834" xr:uid="{00000000-0005-0000-0000-000022090000}"/>
    <cellStyle name="Migliaia 20 4" xfId="587" xr:uid="{00000000-0005-0000-0000-000023090000}"/>
    <cellStyle name="Migliaia 20 4 2" xfId="588" xr:uid="{00000000-0005-0000-0000-000024090000}"/>
    <cellStyle name="Migliaia 20 4 2 2" xfId="2370" xr:uid="{00000000-0005-0000-0000-000025090000}"/>
    <cellStyle name="Migliaia 20 4 2 2 2" xfId="5430" xr:uid="{00000000-0005-0000-0000-000026090000}"/>
    <cellStyle name="Migliaia 20 4 2 2 3" xfId="6352" xr:uid="{00000000-0005-0000-0000-000027090000}"/>
    <cellStyle name="Migliaia 20 4 2 3" xfId="5008" xr:uid="{00000000-0005-0000-0000-000028090000}"/>
    <cellStyle name="Migliaia 20 4 2 4" xfId="5838" xr:uid="{00000000-0005-0000-0000-000029090000}"/>
    <cellStyle name="Migliaia 20 4 3" xfId="2369" xr:uid="{00000000-0005-0000-0000-00002A090000}"/>
    <cellStyle name="Migliaia 20 4 3 2" xfId="5429" xr:uid="{00000000-0005-0000-0000-00002B090000}"/>
    <cellStyle name="Migliaia 20 4 3 3" xfId="6351" xr:uid="{00000000-0005-0000-0000-00002C090000}"/>
    <cellStyle name="Migliaia 20 4 4" xfId="5007" xr:uid="{00000000-0005-0000-0000-00002D090000}"/>
    <cellStyle name="Migliaia 20 4 5" xfId="5837" xr:uid="{00000000-0005-0000-0000-00002E090000}"/>
    <cellStyle name="Migliaia 20 5" xfId="589" xr:uid="{00000000-0005-0000-0000-00002F090000}"/>
    <cellStyle name="Migliaia 20 5 2" xfId="5009" xr:uid="{00000000-0005-0000-0000-000030090000}"/>
    <cellStyle name="Migliaia 20 5 3" xfId="5839" xr:uid="{00000000-0005-0000-0000-000031090000}"/>
    <cellStyle name="Migliaia 20 6" xfId="4811" xr:uid="{00000000-0005-0000-0000-000032090000}"/>
    <cellStyle name="Migliaia 20 7" xfId="5832" xr:uid="{00000000-0005-0000-0000-000033090000}"/>
    <cellStyle name="Migliaia 21" xfId="590" xr:uid="{00000000-0005-0000-0000-000034090000}"/>
    <cellStyle name="Migliaia 21 2" xfId="591" xr:uid="{00000000-0005-0000-0000-000035090000}"/>
    <cellStyle name="Migliaia 21 2 2" xfId="2371" xr:uid="{00000000-0005-0000-0000-000036090000}"/>
    <cellStyle name="Migliaia 21 2 2 2" xfId="5431" xr:uid="{00000000-0005-0000-0000-000037090000}"/>
    <cellStyle name="Migliaia 21 2 2 3" xfId="6353" xr:uid="{00000000-0005-0000-0000-000038090000}"/>
    <cellStyle name="Migliaia 21 2 3" xfId="4876" xr:uid="{00000000-0005-0000-0000-000039090000}"/>
    <cellStyle name="Migliaia 21 2 4" xfId="5841" xr:uid="{00000000-0005-0000-0000-00003A090000}"/>
    <cellStyle name="Migliaia 21 3" xfId="592" xr:uid="{00000000-0005-0000-0000-00003B090000}"/>
    <cellStyle name="Migliaia 21 3 2" xfId="593" xr:uid="{00000000-0005-0000-0000-00003C090000}"/>
    <cellStyle name="Migliaia 21 3 2 2" xfId="5011" xr:uid="{00000000-0005-0000-0000-00003D090000}"/>
    <cellStyle name="Migliaia 21 3 2 3" xfId="5843" xr:uid="{00000000-0005-0000-0000-00003E090000}"/>
    <cellStyle name="Migliaia 21 3 3" xfId="594" xr:uid="{00000000-0005-0000-0000-00003F090000}"/>
    <cellStyle name="Migliaia 21 3 3 2" xfId="2373" xr:uid="{00000000-0005-0000-0000-000040090000}"/>
    <cellStyle name="Migliaia 21 3 3 2 2" xfId="5433" xr:uid="{00000000-0005-0000-0000-000041090000}"/>
    <cellStyle name="Migliaia 21 3 3 2 3" xfId="6355" xr:uid="{00000000-0005-0000-0000-000042090000}"/>
    <cellStyle name="Migliaia 21 3 3 3" xfId="5012" xr:uid="{00000000-0005-0000-0000-000043090000}"/>
    <cellStyle name="Migliaia 21 3 3 4" xfId="5844" xr:uid="{00000000-0005-0000-0000-000044090000}"/>
    <cellStyle name="Migliaia 21 3 4" xfId="2372" xr:uid="{00000000-0005-0000-0000-000045090000}"/>
    <cellStyle name="Migliaia 21 3 4 2" xfId="5432" xr:uid="{00000000-0005-0000-0000-000046090000}"/>
    <cellStyle name="Migliaia 21 3 4 3" xfId="6354" xr:uid="{00000000-0005-0000-0000-000047090000}"/>
    <cellStyle name="Migliaia 21 3 5" xfId="5010" xr:uid="{00000000-0005-0000-0000-000048090000}"/>
    <cellStyle name="Migliaia 21 3 6" xfId="5842" xr:uid="{00000000-0005-0000-0000-000049090000}"/>
    <cellStyle name="Migliaia 21 4" xfId="595" xr:uid="{00000000-0005-0000-0000-00004A090000}"/>
    <cellStyle name="Migliaia 21 4 2" xfId="596" xr:uid="{00000000-0005-0000-0000-00004B090000}"/>
    <cellStyle name="Migliaia 21 4 2 2" xfId="2375" xr:uid="{00000000-0005-0000-0000-00004C090000}"/>
    <cellStyle name="Migliaia 21 4 2 2 2" xfId="5435" xr:uid="{00000000-0005-0000-0000-00004D090000}"/>
    <cellStyle name="Migliaia 21 4 2 2 3" xfId="6357" xr:uid="{00000000-0005-0000-0000-00004E090000}"/>
    <cellStyle name="Migliaia 21 4 2 3" xfId="5014" xr:uid="{00000000-0005-0000-0000-00004F090000}"/>
    <cellStyle name="Migliaia 21 4 2 4" xfId="5846" xr:uid="{00000000-0005-0000-0000-000050090000}"/>
    <cellStyle name="Migliaia 21 4 3" xfId="2374" xr:uid="{00000000-0005-0000-0000-000051090000}"/>
    <cellStyle name="Migliaia 21 4 3 2" xfId="5434" xr:uid="{00000000-0005-0000-0000-000052090000}"/>
    <cellStyle name="Migliaia 21 4 3 3" xfId="6356" xr:uid="{00000000-0005-0000-0000-000053090000}"/>
    <cellStyle name="Migliaia 21 4 4" xfId="5013" xr:uid="{00000000-0005-0000-0000-000054090000}"/>
    <cellStyle name="Migliaia 21 4 5" xfId="5845" xr:uid="{00000000-0005-0000-0000-000055090000}"/>
    <cellStyle name="Migliaia 21 5" xfId="597" xr:uid="{00000000-0005-0000-0000-000056090000}"/>
    <cellStyle name="Migliaia 21 5 2" xfId="5015" xr:uid="{00000000-0005-0000-0000-000057090000}"/>
    <cellStyle name="Migliaia 21 5 3" xfId="5847" xr:uid="{00000000-0005-0000-0000-000058090000}"/>
    <cellStyle name="Migliaia 21 6" xfId="4812" xr:uid="{00000000-0005-0000-0000-000059090000}"/>
    <cellStyle name="Migliaia 21 7" xfId="5840" xr:uid="{00000000-0005-0000-0000-00005A090000}"/>
    <cellStyle name="Migliaia 22" xfId="598" xr:uid="{00000000-0005-0000-0000-00005B090000}"/>
    <cellStyle name="Migliaia 22 2" xfId="599" xr:uid="{00000000-0005-0000-0000-00005C090000}"/>
    <cellStyle name="Migliaia 22 2 2" xfId="2376" xr:uid="{00000000-0005-0000-0000-00005D090000}"/>
    <cellStyle name="Migliaia 22 2 2 2" xfId="5436" xr:uid="{00000000-0005-0000-0000-00005E090000}"/>
    <cellStyle name="Migliaia 22 2 2 3" xfId="6358" xr:uid="{00000000-0005-0000-0000-00005F090000}"/>
    <cellStyle name="Migliaia 22 2 3" xfId="4877" xr:uid="{00000000-0005-0000-0000-000060090000}"/>
    <cellStyle name="Migliaia 22 2 4" xfId="5849" xr:uid="{00000000-0005-0000-0000-000061090000}"/>
    <cellStyle name="Migliaia 22 3" xfId="600" xr:uid="{00000000-0005-0000-0000-000062090000}"/>
    <cellStyle name="Migliaia 22 3 2" xfId="601" xr:uid="{00000000-0005-0000-0000-000063090000}"/>
    <cellStyle name="Migliaia 22 3 2 2" xfId="5017" xr:uid="{00000000-0005-0000-0000-000064090000}"/>
    <cellStyle name="Migliaia 22 3 2 3" xfId="5851" xr:uid="{00000000-0005-0000-0000-000065090000}"/>
    <cellStyle name="Migliaia 22 3 3" xfId="602" xr:uid="{00000000-0005-0000-0000-000066090000}"/>
    <cellStyle name="Migliaia 22 3 3 2" xfId="2378" xr:uid="{00000000-0005-0000-0000-000067090000}"/>
    <cellStyle name="Migliaia 22 3 3 2 2" xfId="5438" xr:uid="{00000000-0005-0000-0000-000068090000}"/>
    <cellStyle name="Migliaia 22 3 3 2 3" xfId="6360" xr:uid="{00000000-0005-0000-0000-000069090000}"/>
    <cellStyle name="Migliaia 22 3 3 3" xfId="5018" xr:uid="{00000000-0005-0000-0000-00006A090000}"/>
    <cellStyle name="Migliaia 22 3 3 4" xfId="5852" xr:uid="{00000000-0005-0000-0000-00006B090000}"/>
    <cellStyle name="Migliaia 22 3 4" xfId="2377" xr:uid="{00000000-0005-0000-0000-00006C090000}"/>
    <cellStyle name="Migliaia 22 3 4 2" xfId="5437" xr:uid="{00000000-0005-0000-0000-00006D090000}"/>
    <cellStyle name="Migliaia 22 3 4 3" xfId="6359" xr:uid="{00000000-0005-0000-0000-00006E090000}"/>
    <cellStyle name="Migliaia 22 3 5" xfId="5016" xr:uid="{00000000-0005-0000-0000-00006F090000}"/>
    <cellStyle name="Migliaia 22 3 6" xfId="5850" xr:uid="{00000000-0005-0000-0000-000070090000}"/>
    <cellStyle name="Migliaia 22 4" xfId="603" xr:uid="{00000000-0005-0000-0000-000071090000}"/>
    <cellStyle name="Migliaia 22 4 2" xfId="604" xr:uid="{00000000-0005-0000-0000-000072090000}"/>
    <cellStyle name="Migliaia 22 4 2 2" xfId="2380" xr:uid="{00000000-0005-0000-0000-000073090000}"/>
    <cellStyle name="Migliaia 22 4 2 2 2" xfId="5440" xr:uid="{00000000-0005-0000-0000-000074090000}"/>
    <cellStyle name="Migliaia 22 4 2 2 3" xfId="6362" xr:uid="{00000000-0005-0000-0000-000075090000}"/>
    <cellStyle name="Migliaia 22 4 2 3" xfId="5020" xr:uid="{00000000-0005-0000-0000-000076090000}"/>
    <cellStyle name="Migliaia 22 4 2 4" xfId="5854" xr:uid="{00000000-0005-0000-0000-000077090000}"/>
    <cellStyle name="Migliaia 22 4 3" xfId="2379" xr:uid="{00000000-0005-0000-0000-000078090000}"/>
    <cellStyle name="Migliaia 22 4 3 2" xfId="5439" xr:uid="{00000000-0005-0000-0000-000079090000}"/>
    <cellStyle name="Migliaia 22 4 3 3" xfId="6361" xr:uid="{00000000-0005-0000-0000-00007A090000}"/>
    <cellStyle name="Migliaia 22 4 4" xfId="5019" xr:uid="{00000000-0005-0000-0000-00007B090000}"/>
    <cellStyle name="Migliaia 22 4 5" xfId="5853" xr:uid="{00000000-0005-0000-0000-00007C090000}"/>
    <cellStyle name="Migliaia 22 5" xfId="605" xr:uid="{00000000-0005-0000-0000-00007D090000}"/>
    <cellStyle name="Migliaia 22 5 2" xfId="5021" xr:uid="{00000000-0005-0000-0000-00007E090000}"/>
    <cellStyle name="Migliaia 22 5 3" xfId="5855" xr:uid="{00000000-0005-0000-0000-00007F090000}"/>
    <cellStyle name="Migliaia 22 6" xfId="4813" xr:uid="{00000000-0005-0000-0000-000080090000}"/>
    <cellStyle name="Migliaia 22 7" xfId="5848" xr:uid="{00000000-0005-0000-0000-000081090000}"/>
    <cellStyle name="Migliaia 23" xfId="606" xr:uid="{00000000-0005-0000-0000-000082090000}"/>
    <cellStyle name="Migliaia 23 2" xfId="607" xr:uid="{00000000-0005-0000-0000-000083090000}"/>
    <cellStyle name="Migliaia 23 2 2" xfId="2381" xr:uid="{00000000-0005-0000-0000-000084090000}"/>
    <cellStyle name="Migliaia 23 2 2 2" xfId="5441" xr:uid="{00000000-0005-0000-0000-000085090000}"/>
    <cellStyle name="Migliaia 23 2 2 3" xfId="6363" xr:uid="{00000000-0005-0000-0000-000086090000}"/>
    <cellStyle name="Migliaia 23 2 3" xfId="4878" xr:uid="{00000000-0005-0000-0000-000087090000}"/>
    <cellStyle name="Migliaia 23 2 4" xfId="5857" xr:uid="{00000000-0005-0000-0000-000088090000}"/>
    <cellStyle name="Migliaia 23 3" xfId="608" xr:uid="{00000000-0005-0000-0000-000089090000}"/>
    <cellStyle name="Migliaia 23 3 2" xfId="609" xr:uid="{00000000-0005-0000-0000-00008A090000}"/>
    <cellStyle name="Migliaia 23 3 2 2" xfId="5023" xr:uid="{00000000-0005-0000-0000-00008B090000}"/>
    <cellStyle name="Migliaia 23 3 2 3" xfId="5859" xr:uid="{00000000-0005-0000-0000-00008C090000}"/>
    <cellStyle name="Migliaia 23 3 3" xfId="610" xr:uid="{00000000-0005-0000-0000-00008D090000}"/>
    <cellStyle name="Migliaia 23 3 3 2" xfId="2383" xr:uid="{00000000-0005-0000-0000-00008E090000}"/>
    <cellStyle name="Migliaia 23 3 3 2 2" xfId="5443" xr:uid="{00000000-0005-0000-0000-00008F090000}"/>
    <cellStyle name="Migliaia 23 3 3 2 3" xfId="6365" xr:uid="{00000000-0005-0000-0000-000090090000}"/>
    <cellStyle name="Migliaia 23 3 3 3" xfId="5024" xr:uid="{00000000-0005-0000-0000-000091090000}"/>
    <cellStyle name="Migliaia 23 3 3 4" xfId="5860" xr:uid="{00000000-0005-0000-0000-000092090000}"/>
    <cellStyle name="Migliaia 23 3 4" xfId="2382" xr:uid="{00000000-0005-0000-0000-000093090000}"/>
    <cellStyle name="Migliaia 23 3 4 2" xfId="5442" xr:uid="{00000000-0005-0000-0000-000094090000}"/>
    <cellStyle name="Migliaia 23 3 4 3" xfId="6364" xr:uid="{00000000-0005-0000-0000-000095090000}"/>
    <cellStyle name="Migliaia 23 3 5" xfId="5022" xr:uid="{00000000-0005-0000-0000-000096090000}"/>
    <cellStyle name="Migliaia 23 3 6" xfId="5858" xr:uid="{00000000-0005-0000-0000-000097090000}"/>
    <cellStyle name="Migliaia 23 4" xfId="611" xr:uid="{00000000-0005-0000-0000-000098090000}"/>
    <cellStyle name="Migliaia 23 4 2" xfId="612" xr:uid="{00000000-0005-0000-0000-000099090000}"/>
    <cellStyle name="Migliaia 23 4 2 2" xfId="2385" xr:uid="{00000000-0005-0000-0000-00009A090000}"/>
    <cellStyle name="Migliaia 23 4 2 2 2" xfId="5445" xr:uid="{00000000-0005-0000-0000-00009B090000}"/>
    <cellStyle name="Migliaia 23 4 2 2 3" xfId="6367" xr:uid="{00000000-0005-0000-0000-00009C090000}"/>
    <cellStyle name="Migliaia 23 4 2 3" xfId="5026" xr:uid="{00000000-0005-0000-0000-00009D090000}"/>
    <cellStyle name="Migliaia 23 4 2 4" xfId="5862" xr:uid="{00000000-0005-0000-0000-00009E090000}"/>
    <cellStyle name="Migliaia 23 4 3" xfId="2384" xr:uid="{00000000-0005-0000-0000-00009F090000}"/>
    <cellStyle name="Migliaia 23 4 3 2" xfId="5444" xr:uid="{00000000-0005-0000-0000-0000A0090000}"/>
    <cellStyle name="Migliaia 23 4 3 3" xfId="6366" xr:uid="{00000000-0005-0000-0000-0000A1090000}"/>
    <cellStyle name="Migliaia 23 4 4" xfId="5025" xr:uid="{00000000-0005-0000-0000-0000A2090000}"/>
    <cellStyle name="Migliaia 23 4 5" xfId="5861" xr:uid="{00000000-0005-0000-0000-0000A3090000}"/>
    <cellStyle name="Migliaia 23 5" xfId="613" xr:uid="{00000000-0005-0000-0000-0000A4090000}"/>
    <cellStyle name="Migliaia 23 5 2" xfId="5027" xr:uid="{00000000-0005-0000-0000-0000A5090000}"/>
    <cellStyle name="Migliaia 23 5 3" xfId="5863" xr:uid="{00000000-0005-0000-0000-0000A6090000}"/>
    <cellStyle name="Migliaia 23 6" xfId="4814" xr:uid="{00000000-0005-0000-0000-0000A7090000}"/>
    <cellStyle name="Migliaia 23 7" xfId="5856" xr:uid="{00000000-0005-0000-0000-0000A8090000}"/>
    <cellStyle name="Migliaia 24" xfId="614" xr:uid="{00000000-0005-0000-0000-0000A9090000}"/>
    <cellStyle name="Migliaia 24 2" xfId="615" xr:uid="{00000000-0005-0000-0000-0000AA090000}"/>
    <cellStyle name="Migliaia 24 2 2" xfId="2386" xr:uid="{00000000-0005-0000-0000-0000AB090000}"/>
    <cellStyle name="Migliaia 24 2 2 2" xfId="5446" xr:uid="{00000000-0005-0000-0000-0000AC090000}"/>
    <cellStyle name="Migliaia 24 2 2 3" xfId="6368" xr:uid="{00000000-0005-0000-0000-0000AD090000}"/>
    <cellStyle name="Migliaia 24 2 3" xfId="4879" xr:uid="{00000000-0005-0000-0000-0000AE090000}"/>
    <cellStyle name="Migliaia 24 2 4" xfId="5865" xr:uid="{00000000-0005-0000-0000-0000AF090000}"/>
    <cellStyle name="Migliaia 24 3" xfId="616" xr:uid="{00000000-0005-0000-0000-0000B0090000}"/>
    <cellStyle name="Migliaia 24 3 2" xfId="617" xr:uid="{00000000-0005-0000-0000-0000B1090000}"/>
    <cellStyle name="Migliaia 24 3 2 2" xfId="5029" xr:uid="{00000000-0005-0000-0000-0000B2090000}"/>
    <cellStyle name="Migliaia 24 3 2 3" xfId="5867" xr:uid="{00000000-0005-0000-0000-0000B3090000}"/>
    <cellStyle name="Migliaia 24 3 3" xfId="618" xr:uid="{00000000-0005-0000-0000-0000B4090000}"/>
    <cellStyle name="Migliaia 24 3 3 2" xfId="2388" xr:uid="{00000000-0005-0000-0000-0000B5090000}"/>
    <cellStyle name="Migliaia 24 3 3 2 2" xfId="5448" xr:uid="{00000000-0005-0000-0000-0000B6090000}"/>
    <cellStyle name="Migliaia 24 3 3 2 3" xfId="6370" xr:uid="{00000000-0005-0000-0000-0000B7090000}"/>
    <cellStyle name="Migliaia 24 3 3 3" xfId="5030" xr:uid="{00000000-0005-0000-0000-0000B8090000}"/>
    <cellStyle name="Migliaia 24 3 3 4" xfId="5868" xr:uid="{00000000-0005-0000-0000-0000B9090000}"/>
    <cellStyle name="Migliaia 24 3 4" xfId="2387" xr:uid="{00000000-0005-0000-0000-0000BA090000}"/>
    <cellStyle name="Migliaia 24 3 4 2" xfId="5447" xr:uid="{00000000-0005-0000-0000-0000BB090000}"/>
    <cellStyle name="Migliaia 24 3 4 3" xfId="6369" xr:uid="{00000000-0005-0000-0000-0000BC090000}"/>
    <cellStyle name="Migliaia 24 3 5" xfId="5028" xr:uid="{00000000-0005-0000-0000-0000BD090000}"/>
    <cellStyle name="Migliaia 24 3 6" xfId="5866" xr:uid="{00000000-0005-0000-0000-0000BE090000}"/>
    <cellStyle name="Migliaia 24 4" xfId="619" xr:uid="{00000000-0005-0000-0000-0000BF090000}"/>
    <cellStyle name="Migliaia 24 4 2" xfId="620" xr:uid="{00000000-0005-0000-0000-0000C0090000}"/>
    <cellStyle name="Migliaia 24 4 2 2" xfId="2390" xr:uid="{00000000-0005-0000-0000-0000C1090000}"/>
    <cellStyle name="Migliaia 24 4 2 2 2" xfId="5450" xr:uid="{00000000-0005-0000-0000-0000C2090000}"/>
    <cellStyle name="Migliaia 24 4 2 2 3" xfId="6372" xr:uid="{00000000-0005-0000-0000-0000C3090000}"/>
    <cellStyle name="Migliaia 24 4 2 3" xfId="5032" xr:uid="{00000000-0005-0000-0000-0000C4090000}"/>
    <cellStyle name="Migliaia 24 4 2 4" xfId="5870" xr:uid="{00000000-0005-0000-0000-0000C5090000}"/>
    <cellStyle name="Migliaia 24 4 3" xfId="2389" xr:uid="{00000000-0005-0000-0000-0000C6090000}"/>
    <cellStyle name="Migliaia 24 4 3 2" xfId="5449" xr:uid="{00000000-0005-0000-0000-0000C7090000}"/>
    <cellStyle name="Migliaia 24 4 3 3" xfId="6371" xr:uid="{00000000-0005-0000-0000-0000C8090000}"/>
    <cellStyle name="Migliaia 24 4 4" xfId="5031" xr:uid="{00000000-0005-0000-0000-0000C9090000}"/>
    <cellStyle name="Migliaia 24 4 5" xfId="5869" xr:uid="{00000000-0005-0000-0000-0000CA090000}"/>
    <cellStyle name="Migliaia 24 5" xfId="621" xr:uid="{00000000-0005-0000-0000-0000CB090000}"/>
    <cellStyle name="Migliaia 24 5 2" xfId="5033" xr:uid="{00000000-0005-0000-0000-0000CC090000}"/>
    <cellStyle name="Migliaia 24 5 3" xfId="5871" xr:uid="{00000000-0005-0000-0000-0000CD090000}"/>
    <cellStyle name="Migliaia 24 6" xfId="4815" xr:uid="{00000000-0005-0000-0000-0000CE090000}"/>
    <cellStyle name="Migliaia 24 7" xfId="5864" xr:uid="{00000000-0005-0000-0000-0000CF090000}"/>
    <cellStyle name="Migliaia 25" xfId="622" xr:uid="{00000000-0005-0000-0000-0000D0090000}"/>
    <cellStyle name="Migliaia 25 2" xfId="623" xr:uid="{00000000-0005-0000-0000-0000D1090000}"/>
    <cellStyle name="Migliaia 25 2 2" xfId="2391" xr:uid="{00000000-0005-0000-0000-0000D2090000}"/>
    <cellStyle name="Migliaia 25 2 2 2" xfId="5451" xr:uid="{00000000-0005-0000-0000-0000D3090000}"/>
    <cellStyle name="Migliaia 25 2 2 3" xfId="6373" xr:uid="{00000000-0005-0000-0000-0000D4090000}"/>
    <cellStyle name="Migliaia 25 2 3" xfId="4880" xr:uid="{00000000-0005-0000-0000-0000D5090000}"/>
    <cellStyle name="Migliaia 25 2 4" xfId="5873" xr:uid="{00000000-0005-0000-0000-0000D6090000}"/>
    <cellStyle name="Migliaia 25 3" xfId="624" xr:uid="{00000000-0005-0000-0000-0000D7090000}"/>
    <cellStyle name="Migliaia 25 3 2" xfId="625" xr:uid="{00000000-0005-0000-0000-0000D8090000}"/>
    <cellStyle name="Migliaia 25 3 2 2" xfId="5035" xr:uid="{00000000-0005-0000-0000-0000D9090000}"/>
    <cellStyle name="Migliaia 25 3 2 3" xfId="5875" xr:uid="{00000000-0005-0000-0000-0000DA090000}"/>
    <cellStyle name="Migliaia 25 3 3" xfId="626" xr:uid="{00000000-0005-0000-0000-0000DB090000}"/>
    <cellStyle name="Migliaia 25 3 3 2" xfId="2393" xr:uid="{00000000-0005-0000-0000-0000DC090000}"/>
    <cellStyle name="Migliaia 25 3 3 2 2" xfId="5453" xr:uid="{00000000-0005-0000-0000-0000DD090000}"/>
    <cellStyle name="Migliaia 25 3 3 2 3" xfId="6375" xr:uid="{00000000-0005-0000-0000-0000DE090000}"/>
    <cellStyle name="Migliaia 25 3 3 3" xfId="5036" xr:uid="{00000000-0005-0000-0000-0000DF090000}"/>
    <cellStyle name="Migliaia 25 3 3 4" xfId="5876" xr:uid="{00000000-0005-0000-0000-0000E0090000}"/>
    <cellStyle name="Migliaia 25 3 4" xfId="2392" xr:uid="{00000000-0005-0000-0000-0000E1090000}"/>
    <cellStyle name="Migliaia 25 3 4 2" xfId="5452" xr:uid="{00000000-0005-0000-0000-0000E2090000}"/>
    <cellStyle name="Migliaia 25 3 4 3" xfId="6374" xr:uid="{00000000-0005-0000-0000-0000E3090000}"/>
    <cellStyle name="Migliaia 25 3 5" xfId="5034" xr:uid="{00000000-0005-0000-0000-0000E4090000}"/>
    <cellStyle name="Migliaia 25 3 6" xfId="5874" xr:uid="{00000000-0005-0000-0000-0000E5090000}"/>
    <cellStyle name="Migliaia 25 4" xfId="627" xr:uid="{00000000-0005-0000-0000-0000E6090000}"/>
    <cellStyle name="Migliaia 25 4 2" xfId="628" xr:uid="{00000000-0005-0000-0000-0000E7090000}"/>
    <cellStyle name="Migliaia 25 4 2 2" xfId="2395" xr:uid="{00000000-0005-0000-0000-0000E8090000}"/>
    <cellStyle name="Migliaia 25 4 2 2 2" xfId="5455" xr:uid="{00000000-0005-0000-0000-0000E9090000}"/>
    <cellStyle name="Migliaia 25 4 2 2 3" xfId="6377" xr:uid="{00000000-0005-0000-0000-0000EA090000}"/>
    <cellStyle name="Migliaia 25 4 2 3" xfId="5038" xr:uid="{00000000-0005-0000-0000-0000EB090000}"/>
    <cellStyle name="Migliaia 25 4 2 4" xfId="5878" xr:uid="{00000000-0005-0000-0000-0000EC090000}"/>
    <cellStyle name="Migliaia 25 4 3" xfId="2394" xr:uid="{00000000-0005-0000-0000-0000ED090000}"/>
    <cellStyle name="Migliaia 25 4 3 2" xfId="5454" xr:uid="{00000000-0005-0000-0000-0000EE090000}"/>
    <cellStyle name="Migliaia 25 4 3 3" xfId="6376" xr:uid="{00000000-0005-0000-0000-0000EF090000}"/>
    <cellStyle name="Migliaia 25 4 4" xfId="5037" xr:uid="{00000000-0005-0000-0000-0000F0090000}"/>
    <cellStyle name="Migliaia 25 4 5" xfId="5877" xr:uid="{00000000-0005-0000-0000-0000F1090000}"/>
    <cellStyle name="Migliaia 25 5" xfId="629" xr:uid="{00000000-0005-0000-0000-0000F2090000}"/>
    <cellStyle name="Migliaia 25 5 2" xfId="5039" xr:uid="{00000000-0005-0000-0000-0000F3090000}"/>
    <cellStyle name="Migliaia 25 5 3" xfId="5879" xr:uid="{00000000-0005-0000-0000-0000F4090000}"/>
    <cellStyle name="Migliaia 25 6" xfId="4816" xr:uid="{00000000-0005-0000-0000-0000F5090000}"/>
    <cellStyle name="Migliaia 25 7" xfId="5872" xr:uid="{00000000-0005-0000-0000-0000F6090000}"/>
    <cellStyle name="Migliaia 26" xfId="630" xr:uid="{00000000-0005-0000-0000-0000F7090000}"/>
    <cellStyle name="Migliaia 26 2" xfId="631" xr:uid="{00000000-0005-0000-0000-0000F8090000}"/>
    <cellStyle name="Migliaia 26 2 2" xfId="2396" xr:uid="{00000000-0005-0000-0000-0000F9090000}"/>
    <cellStyle name="Migliaia 26 2 2 2" xfId="5456" xr:uid="{00000000-0005-0000-0000-0000FA090000}"/>
    <cellStyle name="Migliaia 26 2 2 3" xfId="6378" xr:uid="{00000000-0005-0000-0000-0000FB090000}"/>
    <cellStyle name="Migliaia 26 2 3" xfId="4881" xr:uid="{00000000-0005-0000-0000-0000FC090000}"/>
    <cellStyle name="Migliaia 26 2 4" xfId="5881" xr:uid="{00000000-0005-0000-0000-0000FD090000}"/>
    <cellStyle name="Migliaia 26 3" xfId="632" xr:uid="{00000000-0005-0000-0000-0000FE090000}"/>
    <cellStyle name="Migliaia 26 3 2" xfId="633" xr:uid="{00000000-0005-0000-0000-0000FF090000}"/>
    <cellStyle name="Migliaia 26 3 2 2" xfId="5041" xr:uid="{00000000-0005-0000-0000-0000000A0000}"/>
    <cellStyle name="Migliaia 26 3 2 3" xfId="5883" xr:uid="{00000000-0005-0000-0000-0000010A0000}"/>
    <cellStyle name="Migliaia 26 3 3" xfId="634" xr:uid="{00000000-0005-0000-0000-0000020A0000}"/>
    <cellStyle name="Migliaia 26 3 3 2" xfId="2398" xr:uid="{00000000-0005-0000-0000-0000030A0000}"/>
    <cellStyle name="Migliaia 26 3 3 2 2" xfId="5458" xr:uid="{00000000-0005-0000-0000-0000040A0000}"/>
    <cellStyle name="Migliaia 26 3 3 2 3" xfId="6380" xr:uid="{00000000-0005-0000-0000-0000050A0000}"/>
    <cellStyle name="Migliaia 26 3 3 3" xfId="5042" xr:uid="{00000000-0005-0000-0000-0000060A0000}"/>
    <cellStyle name="Migliaia 26 3 3 4" xfId="5884" xr:uid="{00000000-0005-0000-0000-0000070A0000}"/>
    <cellStyle name="Migliaia 26 3 4" xfId="2397" xr:uid="{00000000-0005-0000-0000-0000080A0000}"/>
    <cellStyle name="Migliaia 26 3 4 2" xfId="5457" xr:uid="{00000000-0005-0000-0000-0000090A0000}"/>
    <cellStyle name="Migliaia 26 3 4 3" xfId="6379" xr:uid="{00000000-0005-0000-0000-00000A0A0000}"/>
    <cellStyle name="Migliaia 26 3 5" xfId="5040" xr:uid="{00000000-0005-0000-0000-00000B0A0000}"/>
    <cellStyle name="Migliaia 26 3 6" xfId="5882" xr:uid="{00000000-0005-0000-0000-00000C0A0000}"/>
    <cellStyle name="Migliaia 26 4" xfId="635" xr:uid="{00000000-0005-0000-0000-00000D0A0000}"/>
    <cellStyle name="Migliaia 26 4 2" xfId="636" xr:uid="{00000000-0005-0000-0000-00000E0A0000}"/>
    <cellStyle name="Migliaia 26 4 2 2" xfId="2400" xr:uid="{00000000-0005-0000-0000-00000F0A0000}"/>
    <cellStyle name="Migliaia 26 4 2 2 2" xfId="5460" xr:uid="{00000000-0005-0000-0000-0000100A0000}"/>
    <cellStyle name="Migliaia 26 4 2 2 3" xfId="6382" xr:uid="{00000000-0005-0000-0000-0000110A0000}"/>
    <cellStyle name="Migliaia 26 4 2 3" xfId="5044" xr:uid="{00000000-0005-0000-0000-0000120A0000}"/>
    <cellStyle name="Migliaia 26 4 2 4" xfId="5886" xr:uid="{00000000-0005-0000-0000-0000130A0000}"/>
    <cellStyle name="Migliaia 26 4 3" xfId="2399" xr:uid="{00000000-0005-0000-0000-0000140A0000}"/>
    <cellStyle name="Migliaia 26 4 3 2" xfId="5459" xr:uid="{00000000-0005-0000-0000-0000150A0000}"/>
    <cellStyle name="Migliaia 26 4 3 3" xfId="6381" xr:uid="{00000000-0005-0000-0000-0000160A0000}"/>
    <cellStyle name="Migliaia 26 4 4" xfId="5043" xr:uid="{00000000-0005-0000-0000-0000170A0000}"/>
    <cellStyle name="Migliaia 26 4 5" xfId="5885" xr:uid="{00000000-0005-0000-0000-0000180A0000}"/>
    <cellStyle name="Migliaia 26 5" xfId="637" xr:uid="{00000000-0005-0000-0000-0000190A0000}"/>
    <cellStyle name="Migliaia 26 5 2" xfId="5045" xr:uid="{00000000-0005-0000-0000-00001A0A0000}"/>
    <cellStyle name="Migliaia 26 5 3" xfId="5887" xr:uid="{00000000-0005-0000-0000-00001B0A0000}"/>
    <cellStyle name="Migliaia 26 6" xfId="4817" xr:uid="{00000000-0005-0000-0000-00001C0A0000}"/>
    <cellStyle name="Migliaia 26 7" xfId="5880" xr:uid="{00000000-0005-0000-0000-00001D0A0000}"/>
    <cellStyle name="Migliaia 27" xfId="638" xr:uid="{00000000-0005-0000-0000-00001E0A0000}"/>
    <cellStyle name="Migliaia 27 2" xfId="639" xr:uid="{00000000-0005-0000-0000-00001F0A0000}"/>
    <cellStyle name="Migliaia 27 2 2" xfId="2401" xr:uid="{00000000-0005-0000-0000-0000200A0000}"/>
    <cellStyle name="Migliaia 27 2 2 2" xfId="5461" xr:uid="{00000000-0005-0000-0000-0000210A0000}"/>
    <cellStyle name="Migliaia 27 2 2 3" xfId="6383" xr:uid="{00000000-0005-0000-0000-0000220A0000}"/>
    <cellStyle name="Migliaia 27 2 3" xfId="4882" xr:uid="{00000000-0005-0000-0000-0000230A0000}"/>
    <cellStyle name="Migliaia 27 2 4" xfId="5889" xr:uid="{00000000-0005-0000-0000-0000240A0000}"/>
    <cellStyle name="Migliaia 27 3" xfId="640" xr:uid="{00000000-0005-0000-0000-0000250A0000}"/>
    <cellStyle name="Migliaia 27 3 2" xfId="641" xr:uid="{00000000-0005-0000-0000-0000260A0000}"/>
    <cellStyle name="Migliaia 27 3 2 2" xfId="5047" xr:uid="{00000000-0005-0000-0000-0000270A0000}"/>
    <cellStyle name="Migliaia 27 3 2 3" xfId="5891" xr:uid="{00000000-0005-0000-0000-0000280A0000}"/>
    <cellStyle name="Migliaia 27 3 3" xfId="642" xr:uid="{00000000-0005-0000-0000-0000290A0000}"/>
    <cellStyle name="Migliaia 27 3 3 2" xfId="2403" xr:uid="{00000000-0005-0000-0000-00002A0A0000}"/>
    <cellStyle name="Migliaia 27 3 3 2 2" xfId="5463" xr:uid="{00000000-0005-0000-0000-00002B0A0000}"/>
    <cellStyle name="Migliaia 27 3 3 2 3" xfId="6385" xr:uid="{00000000-0005-0000-0000-00002C0A0000}"/>
    <cellStyle name="Migliaia 27 3 3 3" xfId="5048" xr:uid="{00000000-0005-0000-0000-00002D0A0000}"/>
    <cellStyle name="Migliaia 27 3 3 4" xfId="5892" xr:uid="{00000000-0005-0000-0000-00002E0A0000}"/>
    <cellStyle name="Migliaia 27 3 4" xfId="2402" xr:uid="{00000000-0005-0000-0000-00002F0A0000}"/>
    <cellStyle name="Migliaia 27 3 4 2" xfId="5462" xr:uid="{00000000-0005-0000-0000-0000300A0000}"/>
    <cellStyle name="Migliaia 27 3 4 3" xfId="6384" xr:uid="{00000000-0005-0000-0000-0000310A0000}"/>
    <cellStyle name="Migliaia 27 3 5" xfId="5046" xr:uid="{00000000-0005-0000-0000-0000320A0000}"/>
    <cellStyle name="Migliaia 27 3 6" xfId="5890" xr:uid="{00000000-0005-0000-0000-0000330A0000}"/>
    <cellStyle name="Migliaia 27 4" xfId="643" xr:uid="{00000000-0005-0000-0000-0000340A0000}"/>
    <cellStyle name="Migliaia 27 4 2" xfId="644" xr:uid="{00000000-0005-0000-0000-0000350A0000}"/>
    <cellStyle name="Migliaia 27 4 2 2" xfId="2405" xr:uid="{00000000-0005-0000-0000-0000360A0000}"/>
    <cellStyle name="Migliaia 27 4 2 2 2" xfId="5465" xr:uid="{00000000-0005-0000-0000-0000370A0000}"/>
    <cellStyle name="Migliaia 27 4 2 2 3" xfId="6387" xr:uid="{00000000-0005-0000-0000-0000380A0000}"/>
    <cellStyle name="Migliaia 27 4 2 3" xfId="5050" xr:uid="{00000000-0005-0000-0000-0000390A0000}"/>
    <cellStyle name="Migliaia 27 4 2 4" xfId="5894" xr:uid="{00000000-0005-0000-0000-00003A0A0000}"/>
    <cellStyle name="Migliaia 27 4 3" xfId="2404" xr:uid="{00000000-0005-0000-0000-00003B0A0000}"/>
    <cellStyle name="Migliaia 27 4 3 2" xfId="5464" xr:uid="{00000000-0005-0000-0000-00003C0A0000}"/>
    <cellStyle name="Migliaia 27 4 3 3" xfId="6386" xr:uid="{00000000-0005-0000-0000-00003D0A0000}"/>
    <cellStyle name="Migliaia 27 4 4" xfId="5049" xr:uid="{00000000-0005-0000-0000-00003E0A0000}"/>
    <cellStyle name="Migliaia 27 4 5" xfId="5893" xr:uid="{00000000-0005-0000-0000-00003F0A0000}"/>
    <cellStyle name="Migliaia 27 5" xfId="645" xr:uid="{00000000-0005-0000-0000-0000400A0000}"/>
    <cellStyle name="Migliaia 27 5 2" xfId="5051" xr:uid="{00000000-0005-0000-0000-0000410A0000}"/>
    <cellStyle name="Migliaia 27 5 3" xfId="5895" xr:uid="{00000000-0005-0000-0000-0000420A0000}"/>
    <cellStyle name="Migliaia 27 6" xfId="4818" xr:uid="{00000000-0005-0000-0000-0000430A0000}"/>
    <cellStyle name="Migliaia 27 7" xfId="5888" xr:uid="{00000000-0005-0000-0000-0000440A0000}"/>
    <cellStyle name="Migliaia 28" xfId="646" xr:uid="{00000000-0005-0000-0000-0000450A0000}"/>
    <cellStyle name="Migliaia 28 2" xfId="647" xr:uid="{00000000-0005-0000-0000-0000460A0000}"/>
    <cellStyle name="Migliaia 28 2 2" xfId="2406" xr:uid="{00000000-0005-0000-0000-0000470A0000}"/>
    <cellStyle name="Migliaia 28 2 2 2" xfId="5466" xr:uid="{00000000-0005-0000-0000-0000480A0000}"/>
    <cellStyle name="Migliaia 28 2 2 3" xfId="6388" xr:uid="{00000000-0005-0000-0000-0000490A0000}"/>
    <cellStyle name="Migliaia 28 2 3" xfId="4883" xr:uid="{00000000-0005-0000-0000-00004A0A0000}"/>
    <cellStyle name="Migliaia 28 2 4" xfId="5897" xr:uid="{00000000-0005-0000-0000-00004B0A0000}"/>
    <cellStyle name="Migliaia 28 3" xfId="648" xr:uid="{00000000-0005-0000-0000-00004C0A0000}"/>
    <cellStyle name="Migliaia 28 3 2" xfId="649" xr:uid="{00000000-0005-0000-0000-00004D0A0000}"/>
    <cellStyle name="Migliaia 28 3 2 2" xfId="5053" xr:uid="{00000000-0005-0000-0000-00004E0A0000}"/>
    <cellStyle name="Migliaia 28 3 2 3" xfId="5899" xr:uid="{00000000-0005-0000-0000-00004F0A0000}"/>
    <cellStyle name="Migliaia 28 3 3" xfId="650" xr:uid="{00000000-0005-0000-0000-0000500A0000}"/>
    <cellStyle name="Migliaia 28 3 3 2" xfId="2408" xr:uid="{00000000-0005-0000-0000-0000510A0000}"/>
    <cellStyle name="Migliaia 28 3 3 2 2" xfId="5468" xr:uid="{00000000-0005-0000-0000-0000520A0000}"/>
    <cellStyle name="Migliaia 28 3 3 2 3" xfId="6390" xr:uid="{00000000-0005-0000-0000-0000530A0000}"/>
    <cellStyle name="Migliaia 28 3 3 3" xfId="5054" xr:uid="{00000000-0005-0000-0000-0000540A0000}"/>
    <cellStyle name="Migliaia 28 3 3 4" xfId="5900" xr:uid="{00000000-0005-0000-0000-0000550A0000}"/>
    <cellStyle name="Migliaia 28 3 4" xfId="2407" xr:uid="{00000000-0005-0000-0000-0000560A0000}"/>
    <cellStyle name="Migliaia 28 3 4 2" xfId="5467" xr:uid="{00000000-0005-0000-0000-0000570A0000}"/>
    <cellStyle name="Migliaia 28 3 4 3" xfId="6389" xr:uid="{00000000-0005-0000-0000-0000580A0000}"/>
    <cellStyle name="Migliaia 28 3 5" xfId="5052" xr:uid="{00000000-0005-0000-0000-0000590A0000}"/>
    <cellStyle name="Migliaia 28 3 6" xfId="5898" xr:uid="{00000000-0005-0000-0000-00005A0A0000}"/>
    <cellStyle name="Migliaia 28 4" xfId="651" xr:uid="{00000000-0005-0000-0000-00005B0A0000}"/>
    <cellStyle name="Migliaia 28 4 2" xfId="652" xr:uid="{00000000-0005-0000-0000-00005C0A0000}"/>
    <cellStyle name="Migliaia 28 4 2 2" xfId="2410" xr:uid="{00000000-0005-0000-0000-00005D0A0000}"/>
    <cellStyle name="Migliaia 28 4 2 2 2" xfId="5470" xr:uid="{00000000-0005-0000-0000-00005E0A0000}"/>
    <cellStyle name="Migliaia 28 4 2 2 3" xfId="6392" xr:uid="{00000000-0005-0000-0000-00005F0A0000}"/>
    <cellStyle name="Migliaia 28 4 2 3" xfId="5056" xr:uid="{00000000-0005-0000-0000-0000600A0000}"/>
    <cellStyle name="Migliaia 28 4 2 4" xfId="5902" xr:uid="{00000000-0005-0000-0000-0000610A0000}"/>
    <cellStyle name="Migliaia 28 4 3" xfId="2409" xr:uid="{00000000-0005-0000-0000-0000620A0000}"/>
    <cellStyle name="Migliaia 28 4 3 2" xfId="5469" xr:uid="{00000000-0005-0000-0000-0000630A0000}"/>
    <cellStyle name="Migliaia 28 4 3 3" xfId="6391" xr:uid="{00000000-0005-0000-0000-0000640A0000}"/>
    <cellStyle name="Migliaia 28 4 4" xfId="5055" xr:uid="{00000000-0005-0000-0000-0000650A0000}"/>
    <cellStyle name="Migliaia 28 4 5" xfId="5901" xr:uid="{00000000-0005-0000-0000-0000660A0000}"/>
    <cellStyle name="Migliaia 28 5" xfId="653" xr:uid="{00000000-0005-0000-0000-0000670A0000}"/>
    <cellStyle name="Migliaia 28 5 2" xfId="5057" xr:uid="{00000000-0005-0000-0000-0000680A0000}"/>
    <cellStyle name="Migliaia 28 5 3" xfId="5903" xr:uid="{00000000-0005-0000-0000-0000690A0000}"/>
    <cellStyle name="Migliaia 28 6" xfId="4819" xr:uid="{00000000-0005-0000-0000-00006A0A0000}"/>
    <cellStyle name="Migliaia 28 7" xfId="5896" xr:uid="{00000000-0005-0000-0000-00006B0A0000}"/>
    <cellStyle name="Migliaia 29" xfId="654" xr:uid="{00000000-0005-0000-0000-00006C0A0000}"/>
    <cellStyle name="Migliaia 29 2" xfId="655" xr:uid="{00000000-0005-0000-0000-00006D0A0000}"/>
    <cellStyle name="Migliaia 29 2 2" xfId="2411" xr:uid="{00000000-0005-0000-0000-00006E0A0000}"/>
    <cellStyle name="Migliaia 29 2 2 2" xfId="5471" xr:uid="{00000000-0005-0000-0000-00006F0A0000}"/>
    <cellStyle name="Migliaia 29 2 2 3" xfId="6393" xr:uid="{00000000-0005-0000-0000-0000700A0000}"/>
    <cellStyle name="Migliaia 29 2 3" xfId="4884" xr:uid="{00000000-0005-0000-0000-0000710A0000}"/>
    <cellStyle name="Migliaia 29 2 4" xfId="5905" xr:uid="{00000000-0005-0000-0000-0000720A0000}"/>
    <cellStyle name="Migliaia 29 3" xfId="656" xr:uid="{00000000-0005-0000-0000-0000730A0000}"/>
    <cellStyle name="Migliaia 29 3 2" xfId="657" xr:uid="{00000000-0005-0000-0000-0000740A0000}"/>
    <cellStyle name="Migliaia 29 3 2 2" xfId="5059" xr:uid="{00000000-0005-0000-0000-0000750A0000}"/>
    <cellStyle name="Migliaia 29 3 2 3" xfId="5907" xr:uid="{00000000-0005-0000-0000-0000760A0000}"/>
    <cellStyle name="Migliaia 29 3 3" xfId="658" xr:uid="{00000000-0005-0000-0000-0000770A0000}"/>
    <cellStyle name="Migliaia 29 3 3 2" xfId="2413" xr:uid="{00000000-0005-0000-0000-0000780A0000}"/>
    <cellStyle name="Migliaia 29 3 3 2 2" xfId="5473" xr:uid="{00000000-0005-0000-0000-0000790A0000}"/>
    <cellStyle name="Migliaia 29 3 3 2 3" xfId="6395" xr:uid="{00000000-0005-0000-0000-00007A0A0000}"/>
    <cellStyle name="Migliaia 29 3 3 3" xfId="5060" xr:uid="{00000000-0005-0000-0000-00007B0A0000}"/>
    <cellStyle name="Migliaia 29 3 3 4" xfId="5908" xr:uid="{00000000-0005-0000-0000-00007C0A0000}"/>
    <cellStyle name="Migliaia 29 3 4" xfId="2412" xr:uid="{00000000-0005-0000-0000-00007D0A0000}"/>
    <cellStyle name="Migliaia 29 3 4 2" xfId="5472" xr:uid="{00000000-0005-0000-0000-00007E0A0000}"/>
    <cellStyle name="Migliaia 29 3 4 3" xfId="6394" xr:uid="{00000000-0005-0000-0000-00007F0A0000}"/>
    <cellStyle name="Migliaia 29 3 5" xfId="5058" xr:uid="{00000000-0005-0000-0000-0000800A0000}"/>
    <cellStyle name="Migliaia 29 3 6" xfId="5906" xr:uid="{00000000-0005-0000-0000-0000810A0000}"/>
    <cellStyle name="Migliaia 29 4" xfId="659" xr:uid="{00000000-0005-0000-0000-0000820A0000}"/>
    <cellStyle name="Migliaia 29 4 2" xfId="660" xr:uid="{00000000-0005-0000-0000-0000830A0000}"/>
    <cellStyle name="Migliaia 29 4 2 2" xfId="2415" xr:uid="{00000000-0005-0000-0000-0000840A0000}"/>
    <cellStyle name="Migliaia 29 4 2 2 2" xfId="5475" xr:uid="{00000000-0005-0000-0000-0000850A0000}"/>
    <cellStyle name="Migliaia 29 4 2 2 3" xfId="6397" xr:uid="{00000000-0005-0000-0000-0000860A0000}"/>
    <cellStyle name="Migliaia 29 4 2 3" xfId="5062" xr:uid="{00000000-0005-0000-0000-0000870A0000}"/>
    <cellStyle name="Migliaia 29 4 2 4" xfId="5910" xr:uid="{00000000-0005-0000-0000-0000880A0000}"/>
    <cellStyle name="Migliaia 29 4 3" xfId="2414" xr:uid="{00000000-0005-0000-0000-0000890A0000}"/>
    <cellStyle name="Migliaia 29 4 3 2" xfId="5474" xr:uid="{00000000-0005-0000-0000-00008A0A0000}"/>
    <cellStyle name="Migliaia 29 4 3 3" xfId="6396" xr:uid="{00000000-0005-0000-0000-00008B0A0000}"/>
    <cellStyle name="Migliaia 29 4 4" xfId="5061" xr:uid="{00000000-0005-0000-0000-00008C0A0000}"/>
    <cellStyle name="Migliaia 29 4 5" xfId="5909" xr:uid="{00000000-0005-0000-0000-00008D0A0000}"/>
    <cellStyle name="Migliaia 29 5" xfId="661" xr:uid="{00000000-0005-0000-0000-00008E0A0000}"/>
    <cellStyle name="Migliaia 29 5 2" xfId="5063" xr:uid="{00000000-0005-0000-0000-00008F0A0000}"/>
    <cellStyle name="Migliaia 29 5 3" xfId="5911" xr:uid="{00000000-0005-0000-0000-0000900A0000}"/>
    <cellStyle name="Migliaia 29 6" xfId="4820" xr:uid="{00000000-0005-0000-0000-0000910A0000}"/>
    <cellStyle name="Migliaia 29 7" xfId="5904" xr:uid="{00000000-0005-0000-0000-0000920A0000}"/>
    <cellStyle name="Migliaia 3" xfId="662" xr:uid="{00000000-0005-0000-0000-0000930A0000}"/>
    <cellStyle name="Migliaia 3 2" xfId="663" xr:uid="{00000000-0005-0000-0000-0000940A0000}"/>
    <cellStyle name="Migliaia 3 2 2" xfId="2416" xr:uid="{00000000-0005-0000-0000-0000950A0000}"/>
    <cellStyle name="Migliaia 3 2 2 2" xfId="5476" xr:uid="{00000000-0005-0000-0000-0000960A0000}"/>
    <cellStyle name="Migliaia 3 2 2 3" xfId="6398" xr:uid="{00000000-0005-0000-0000-0000970A0000}"/>
    <cellStyle name="Migliaia 3 2 3" xfId="4885" xr:uid="{00000000-0005-0000-0000-0000980A0000}"/>
    <cellStyle name="Migliaia 3 2 4" xfId="5913" xr:uid="{00000000-0005-0000-0000-0000990A0000}"/>
    <cellStyle name="Migliaia 3 3" xfId="664" xr:uid="{00000000-0005-0000-0000-00009A0A0000}"/>
    <cellStyle name="Migliaia 3 3 2" xfId="665" xr:uid="{00000000-0005-0000-0000-00009B0A0000}"/>
    <cellStyle name="Migliaia 3 3 2 2" xfId="5065" xr:uid="{00000000-0005-0000-0000-00009C0A0000}"/>
    <cellStyle name="Migliaia 3 3 2 3" xfId="5915" xr:uid="{00000000-0005-0000-0000-00009D0A0000}"/>
    <cellStyle name="Migliaia 3 3 3" xfId="666" xr:uid="{00000000-0005-0000-0000-00009E0A0000}"/>
    <cellStyle name="Migliaia 3 3 3 2" xfId="2418" xr:uid="{00000000-0005-0000-0000-00009F0A0000}"/>
    <cellStyle name="Migliaia 3 3 3 2 2" xfId="5478" xr:uid="{00000000-0005-0000-0000-0000A00A0000}"/>
    <cellStyle name="Migliaia 3 3 3 2 3" xfId="6400" xr:uid="{00000000-0005-0000-0000-0000A10A0000}"/>
    <cellStyle name="Migliaia 3 3 3 3" xfId="5066" xr:uid="{00000000-0005-0000-0000-0000A20A0000}"/>
    <cellStyle name="Migliaia 3 3 3 4" xfId="5916" xr:uid="{00000000-0005-0000-0000-0000A30A0000}"/>
    <cellStyle name="Migliaia 3 3 4" xfId="2417" xr:uid="{00000000-0005-0000-0000-0000A40A0000}"/>
    <cellStyle name="Migliaia 3 3 4 2" xfId="5477" xr:uid="{00000000-0005-0000-0000-0000A50A0000}"/>
    <cellStyle name="Migliaia 3 3 4 3" xfId="6399" xr:uid="{00000000-0005-0000-0000-0000A60A0000}"/>
    <cellStyle name="Migliaia 3 3 5" xfId="5064" xr:uid="{00000000-0005-0000-0000-0000A70A0000}"/>
    <cellStyle name="Migliaia 3 3 6" xfId="5914" xr:uid="{00000000-0005-0000-0000-0000A80A0000}"/>
    <cellStyle name="Migliaia 3 4" xfId="667" xr:uid="{00000000-0005-0000-0000-0000A90A0000}"/>
    <cellStyle name="Migliaia 3 4 2" xfId="668" xr:uid="{00000000-0005-0000-0000-0000AA0A0000}"/>
    <cellStyle name="Migliaia 3 4 2 2" xfId="2420" xr:uid="{00000000-0005-0000-0000-0000AB0A0000}"/>
    <cellStyle name="Migliaia 3 4 2 2 2" xfId="5480" xr:uid="{00000000-0005-0000-0000-0000AC0A0000}"/>
    <cellStyle name="Migliaia 3 4 2 2 3" xfId="6402" xr:uid="{00000000-0005-0000-0000-0000AD0A0000}"/>
    <cellStyle name="Migliaia 3 4 2 3" xfId="5068" xr:uid="{00000000-0005-0000-0000-0000AE0A0000}"/>
    <cellStyle name="Migliaia 3 4 2 4" xfId="5918" xr:uid="{00000000-0005-0000-0000-0000AF0A0000}"/>
    <cellStyle name="Migliaia 3 4 3" xfId="2419" xr:uid="{00000000-0005-0000-0000-0000B00A0000}"/>
    <cellStyle name="Migliaia 3 4 3 2" xfId="5479" xr:uid="{00000000-0005-0000-0000-0000B10A0000}"/>
    <cellStyle name="Migliaia 3 4 3 3" xfId="6401" xr:uid="{00000000-0005-0000-0000-0000B20A0000}"/>
    <cellStyle name="Migliaia 3 4 4" xfId="5067" xr:uid="{00000000-0005-0000-0000-0000B30A0000}"/>
    <cellStyle name="Migliaia 3 4 5" xfId="5917" xr:uid="{00000000-0005-0000-0000-0000B40A0000}"/>
    <cellStyle name="Migliaia 3 5" xfId="669" xr:uid="{00000000-0005-0000-0000-0000B50A0000}"/>
    <cellStyle name="Migliaia 3 5 2" xfId="5069" xr:uid="{00000000-0005-0000-0000-0000B60A0000}"/>
    <cellStyle name="Migliaia 3 5 3" xfId="5919" xr:uid="{00000000-0005-0000-0000-0000B70A0000}"/>
    <cellStyle name="Migliaia 3 6" xfId="4821" xr:uid="{00000000-0005-0000-0000-0000B80A0000}"/>
    <cellStyle name="Migliaia 3 7" xfId="5912" xr:uid="{00000000-0005-0000-0000-0000B90A0000}"/>
    <cellStyle name="Migliaia 30" xfId="670" xr:uid="{00000000-0005-0000-0000-0000BA0A0000}"/>
    <cellStyle name="Migliaia 30 2" xfId="671" xr:uid="{00000000-0005-0000-0000-0000BB0A0000}"/>
    <cellStyle name="Migliaia 30 2 2" xfId="2421" xr:uid="{00000000-0005-0000-0000-0000BC0A0000}"/>
    <cellStyle name="Migliaia 30 2 2 2" xfId="5481" xr:uid="{00000000-0005-0000-0000-0000BD0A0000}"/>
    <cellStyle name="Migliaia 30 2 2 3" xfId="6403" xr:uid="{00000000-0005-0000-0000-0000BE0A0000}"/>
    <cellStyle name="Migliaia 30 2 3" xfId="4886" xr:uid="{00000000-0005-0000-0000-0000BF0A0000}"/>
    <cellStyle name="Migliaia 30 2 4" xfId="5921" xr:uid="{00000000-0005-0000-0000-0000C00A0000}"/>
    <cellStyle name="Migliaia 30 3" xfId="672" xr:uid="{00000000-0005-0000-0000-0000C10A0000}"/>
    <cellStyle name="Migliaia 30 3 2" xfId="673" xr:uid="{00000000-0005-0000-0000-0000C20A0000}"/>
    <cellStyle name="Migliaia 30 3 2 2" xfId="5071" xr:uid="{00000000-0005-0000-0000-0000C30A0000}"/>
    <cellStyle name="Migliaia 30 3 2 3" xfId="5923" xr:uid="{00000000-0005-0000-0000-0000C40A0000}"/>
    <cellStyle name="Migliaia 30 3 3" xfId="674" xr:uid="{00000000-0005-0000-0000-0000C50A0000}"/>
    <cellStyle name="Migliaia 30 3 3 2" xfId="2423" xr:uid="{00000000-0005-0000-0000-0000C60A0000}"/>
    <cellStyle name="Migliaia 30 3 3 2 2" xfId="5483" xr:uid="{00000000-0005-0000-0000-0000C70A0000}"/>
    <cellStyle name="Migliaia 30 3 3 2 3" xfId="6405" xr:uid="{00000000-0005-0000-0000-0000C80A0000}"/>
    <cellStyle name="Migliaia 30 3 3 3" xfId="5072" xr:uid="{00000000-0005-0000-0000-0000C90A0000}"/>
    <cellStyle name="Migliaia 30 3 3 4" xfId="5924" xr:uid="{00000000-0005-0000-0000-0000CA0A0000}"/>
    <cellStyle name="Migliaia 30 3 4" xfId="2422" xr:uid="{00000000-0005-0000-0000-0000CB0A0000}"/>
    <cellStyle name="Migliaia 30 3 4 2" xfId="5482" xr:uid="{00000000-0005-0000-0000-0000CC0A0000}"/>
    <cellStyle name="Migliaia 30 3 4 3" xfId="6404" xr:uid="{00000000-0005-0000-0000-0000CD0A0000}"/>
    <cellStyle name="Migliaia 30 3 5" xfId="5070" xr:uid="{00000000-0005-0000-0000-0000CE0A0000}"/>
    <cellStyle name="Migliaia 30 3 6" xfId="5922" xr:uid="{00000000-0005-0000-0000-0000CF0A0000}"/>
    <cellStyle name="Migliaia 30 4" xfId="675" xr:uid="{00000000-0005-0000-0000-0000D00A0000}"/>
    <cellStyle name="Migliaia 30 4 2" xfId="676" xr:uid="{00000000-0005-0000-0000-0000D10A0000}"/>
    <cellStyle name="Migliaia 30 4 2 2" xfId="2425" xr:uid="{00000000-0005-0000-0000-0000D20A0000}"/>
    <cellStyle name="Migliaia 30 4 2 2 2" xfId="5485" xr:uid="{00000000-0005-0000-0000-0000D30A0000}"/>
    <cellStyle name="Migliaia 30 4 2 2 3" xfId="6407" xr:uid="{00000000-0005-0000-0000-0000D40A0000}"/>
    <cellStyle name="Migliaia 30 4 2 3" xfId="5074" xr:uid="{00000000-0005-0000-0000-0000D50A0000}"/>
    <cellStyle name="Migliaia 30 4 2 4" xfId="5926" xr:uid="{00000000-0005-0000-0000-0000D60A0000}"/>
    <cellStyle name="Migliaia 30 4 3" xfId="2424" xr:uid="{00000000-0005-0000-0000-0000D70A0000}"/>
    <cellStyle name="Migliaia 30 4 3 2" xfId="5484" xr:uid="{00000000-0005-0000-0000-0000D80A0000}"/>
    <cellStyle name="Migliaia 30 4 3 3" xfId="6406" xr:uid="{00000000-0005-0000-0000-0000D90A0000}"/>
    <cellStyle name="Migliaia 30 4 4" xfId="5073" xr:uid="{00000000-0005-0000-0000-0000DA0A0000}"/>
    <cellStyle name="Migliaia 30 4 5" xfId="5925" xr:uid="{00000000-0005-0000-0000-0000DB0A0000}"/>
    <cellStyle name="Migliaia 30 5" xfId="677" xr:uid="{00000000-0005-0000-0000-0000DC0A0000}"/>
    <cellStyle name="Migliaia 30 5 2" xfId="5075" xr:uid="{00000000-0005-0000-0000-0000DD0A0000}"/>
    <cellStyle name="Migliaia 30 5 3" xfId="5927" xr:uid="{00000000-0005-0000-0000-0000DE0A0000}"/>
    <cellStyle name="Migliaia 30 6" xfId="4822" xr:uid="{00000000-0005-0000-0000-0000DF0A0000}"/>
    <cellStyle name="Migliaia 30 7" xfId="5920" xr:uid="{00000000-0005-0000-0000-0000E00A0000}"/>
    <cellStyle name="Migliaia 31" xfId="678" xr:uid="{00000000-0005-0000-0000-0000E10A0000}"/>
    <cellStyle name="Migliaia 31 2" xfId="679" xr:uid="{00000000-0005-0000-0000-0000E20A0000}"/>
    <cellStyle name="Migliaia 31 2 2" xfId="2426" xr:uid="{00000000-0005-0000-0000-0000E30A0000}"/>
    <cellStyle name="Migliaia 31 2 2 2" xfId="5486" xr:uid="{00000000-0005-0000-0000-0000E40A0000}"/>
    <cellStyle name="Migliaia 31 2 2 3" xfId="6408" xr:uid="{00000000-0005-0000-0000-0000E50A0000}"/>
    <cellStyle name="Migliaia 31 2 3" xfId="4887" xr:uid="{00000000-0005-0000-0000-0000E60A0000}"/>
    <cellStyle name="Migliaia 31 2 4" xfId="5929" xr:uid="{00000000-0005-0000-0000-0000E70A0000}"/>
    <cellStyle name="Migliaia 31 3" xfId="680" xr:uid="{00000000-0005-0000-0000-0000E80A0000}"/>
    <cellStyle name="Migliaia 31 3 2" xfId="681" xr:uid="{00000000-0005-0000-0000-0000E90A0000}"/>
    <cellStyle name="Migliaia 31 3 2 2" xfId="5077" xr:uid="{00000000-0005-0000-0000-0000EA0A0000}"/>
    <cellStyle name="Migliaia 31 3 2 3" xfId="5931" xr:uid="{00000000-0005-0000-0000-0000EB0A0000}"/>
    <cellStyle name="Migliaia 31 3 3" xfId="682" xr:uid="{00000000-0005-0000-0000-0000EC0A0000}"/>
    <cellStyle name="Migliaia 31 3 3 2" xfId="2428" xr:uid="{00000000-0005-0000-0000-0000ED0A0000}"/>
    <cellStyle name="Migliaia 31 3 3 2 2" xfId="5488" xr:uid="{00000000-0005-0000-0000-0000EE0A0000}"/>
    <cellStyle name="Migliaia 31 3 3 2 3" xfId="6410" xr:uid="{00000000-0005-0000-0000-0000EF0A0000}"/>
    <cellStyle name="Migliaia 31 3 3 3" xfId="5078" xr:uid="{00000000-0005-0000-0000-0000F00A0000}"/>
    <cellStyle name="Migliaia 31 3 3 4" xfId="5932" xr:uid="{00000000-0005-0000-0000-0000F10A0000}"/>
    <cellStyle name="Migliaia 31 3 4" xfId="2427" xr:uid="{00000000-0005-0000-0000-0000F20A0000}"/>
    <cellStyle name="Migliaia 31 3 4 2" xfId="5487" xr:uid="{00000000-0005-0000-0000-0000F30A0000}"/>
    <cellStyle name="Migliaia 31 3 4 3" xfId="6409" xr:uid="{00000000-0005-0000-0000-0000F40A0000}"/>
    <cellStyle name="Migliaia 31 3 5" xfId="5076" xr:uid="{00000000-0005-0000-0000-0000F50A0000}"/>
    <cellStyle name="Migliaia 31 3 6" xfId="5930" xr:uid="{00000000-0005-0000-0000-0000F60A0000}"/>
    <cellStyle name="Migliaia 31 4" xfId="683" xr:uid="{00000000-0005-0000-0000-0000F70A0000}"/>
    <cellStyle name="Migliaia 31 4 2" xfId="684" xr:uid="{00000000-0005-0000-0000-0000F80A0000}"/>
    <cellStyle name="Migliaia 31 4 2 2" xfId="2430" xr:uid="{00000000-0005-0000-0000-0000F90A0000}"/>
    <cellStyle name="Migliaia 31 4 2 2 2" xfId="5490" xr:uid="{00000000-0005-0000-0000-0000FA0A0000}"/>
    <cellStyle name="Migliaia 31 4 2 2 3" xfId="6412" xr:uid="{00000000-0005-0000-0000-0000FB0A0000}"/>
    <cellStyle name="Migliaia 31 4 2 3" xfId="5080" xr:uid="{00000000-0005-0000-0000-0000FC0A0000}"/>
    <cellStyle name="Migliaia 31 4 2 4" xfId="5934" xr:uid="{00000000-0005-0000-0000-0000FD0A0000}"/>
    <cellStyle name="Migliaia 31 4 3" xfId="2429" xr:uid="{00000000-0005-0000-0000-0000FE0A0000}"/>
    <cellStyle name="Migliaia 31 4 3 2" xfId="5489" xr:uid="{00000000-0005-0000-0000-0000FF0A0000}"/>
    <cellStyle name="Migliaia 31 4 3 3" xfId="6411" xr:uid="{00000000-0005-0000-0000-0000000B0000}"/>
    <cellStyle name="Migliaia 31 4 4" xfId="5079" xr:uid="{00000000-0005-0000-0000-0000010B0000}"/>
    <cellStyle name="Migliaia 31 4 5" xfId="5933" xr:uid="{00000000-0005-0000-0000-0000020B0000}"/>
    <cellStyle name="Migliaia 31 5" xfId="685" xr:uid="{00000000-0005-0000-0000-0000030B0000}"/>
    <cellStyle name="Migliaia 31 5 2" xfId="5081" xr:uid="{00000000-0005-0000-0000-0000040B0000}"/>
    <cellStyle name="Migliaia 31 5 3" xfId="5935" xr:uid="{00000000-0005-0000-0000-0000050B0000}"/>
    <cellStyle name="Migliaia 31 6" xfId="4823" xr:uid="{00000000-0005-0000-0000-0000060B0000}"/>
    <cellStyle name="Migliaia 31 7" xfId="5928" xr:uid="{00000000-0005-0000-0000-0000070B0000}"/>
    <cellStyle name="Migliaia 32" xfId="686" xr:uid="{00000000-0005-0000-0000-0000080B0000}"/>
    <cellStyle name="Migliaia 32 2" xfId="687" xr:uid="{00000000-0005-0000-0000-0000090B0000}"/>
    <cellStyle name="Migliaia 32 2 2" xfId="2431" xr:uid="{00000000-0005-0000-0000-00000A0B0000}"/>
    <cellStyle name="Migliaia 32 2 2 2" xfId="5491" xr:uid="{00000000-0005-0000-0000-00000B0B0000}"/>
    <cellStyle name="Migliaia 32 2 2 3" xfId="6413" xr:uid="{00000000-0005-0000-0000-00000C0B0000}"/>
    <cellStyle name="Migliaia 32 2 3" xfId="4888" xr:uid="{00000000-0005-0000-0000-00000D0B0000}"/>
    <cellStyle name="Migliaia 32 2 4" xfId="5937" xr:uid="{00000000-0005-0000-0000-00000E0B0000}"/>
    <cellStyle name="Migliaia 32 3" xfId="688" xr:uid="{00000000-0005-0000-0000-00000F0B0000}"/>
    <cellStyle name="Migliaia 32 3 2" xfId="689" xr:uid="{00000000-0005-0000-0000-0000100B0000}"/>
    <cellStyle name="Migliaia 32 3 2 2" xfId="5083" xr:uid="{00000000-0005-0000-0000-0000110B0000}"/>
    <cellStyle name="Migliaia 32 3 2 3" xfId="5939" xr:uid="{00000000-0005-0000-0000-0000120B0000}"/>
    <cellStyle name="Migliaia 32 3 3" xfId="690" xr:uid="{00000000-0005-0000-0000-0000130B0000}"/>
    <cellStyle name="Migliaia 32 3 3 2" xfId="2433" xr:uid="{00000000-0005-0000-0000-0000140B0000}"/>
    <cellStyle name="Migliaia 32 3 3 2 2" xfId="5493" xr:uid="{00000000-0005-0000-0000-0000150B0000}"/>
    <cellStyle name="Migliaia 32 3 3 2 3" xfId="6415" xr:uid="{00000000-0005-0000-0000-0000160B0000}"/>
    <cellStyle name="Migliaia 32 3 3 3" xfId="5084" xr:uid="{00000000-0005-0000-0000-0000170B0000}"/>
    <cellStyle name="Migliaia 32 3 3 4" xfId="5940" xr:uid="{00000000-0005-0000-0000-0000180B0000}"/>
    <cellStyle name="Migliaia 32 3 4" xfId="2432" xr:uid="{00000000-0005-0000-0000-0000190B0000}"/>
    <cellStyle name="Migliaia 32 3 4 2" xfId="5492" xr:uid="{00000000-0005-0000-0000-00001A0B0000}"/>
    <cellStyle name="Migliaia 32 3 4 3" xfId="6414" xr:uid="{00000000-0005-0000-0000-00001B0B0000}"/>
    <cellStyle name="Migliaia 32 3 5" xfId="5082" xr:uid="{00000000-0005-0000-0000-00001C0B0000}"/>
    <cellStyle name="Migliaia 32 3 6" xfId="5938" xr:uid="{00000000-0005-0000-0000-00001D0B0000}"/>
    <cellStyle name="Migliaia 32 4" xfId="691" xr:uid="{00000000-0005-0000-0000-00001E0B0000}"/>
    <cellStyle name="Migliaia 32 4 2" xfId="692" xr:uid="{00000000-0005-0000-0000-00001F0B0000}"/>
    <cellStyle name="Migliaia 32 4 2 2" xfId="2435" xr:uid="{00000000-0005-0000-0000-0000200B0000}"/>
    <cellStyle name="Migliaia 32 4 2 2 2" xfId="5495" xr:uid="{00000000-0005-0000-0000-0000210B0000}"/>
    <cellStyle name="Migliaia 32 4 2 2 3" xfId="6417" xr:uid="{00000000-0005-0000-0000-0000220B0000}"/>
    <cellStyle name="Migliaia 32 4 2 3" xfId="5086" xr:uid="{00000000-0005-0000-0000-0000230B0000}"/>
    <cellStyle name="Migliaia 32 4 2 4" xfId="5942" xr:uid="{00000000-0005-0000-0000-0000240B0000}"/>
    <cellStyle name="Migliaia 32 4 3" xfId="2434" xr:uid="{00000000-0005-0000-0000-0000250B0000}"/>
    <cellStyle name="Migliaia 32 4 3 2" xfId="5494" xr:uid="{00000000-0005-0000-0000-0000260B0000}"/>
    <cellStyle name="Migliaia 32 4 3 3" xfId="6416" xr:uid="{00000000-0005-0000-0000-0000270B0000}"/>
    <cellStyle name="Migliaia 32 4 4" xfId="5085" xr:uid="{00000000-0005-0000-0000-0000280B0000}"/>
    <cellStyle name="Migliaia 32 4 5" xfId="5941" xr:uid="{00000000-0005-0000-0000-0000290B0000}"/>
    <cellStyle name="Migliaia 32 5" xfId="693" xr:uid="{00000000-0005-0000-0000-00002A0B0000}"/>
    <cellStyle name="Migliaia 32 5 2" xfId="5087" xr:uid="{00000000-0005-0000-0000-00002B0B0000}"/>
    <cellStyle name="Migliaia 32 5 3" xfId="5943" xr:uid="{00000000-0005-0000-0000-00002C0B0000}"/>
    <cellStyle name="Migliaia 32 6" xfId="4824" xr:uid="{00000000-0005-0000-0000-00002D0B0000}"/>
    <cellStyle name="Migliaia 32 7" xfId="5936" xr:uid="{00000000-0005-0000-0000-00002E0B0000}"/>
    <cellStyle name="Migliaia 33" xfId="694" xr:uid="{00000000-0005-0000-0000-00002F0B0000}"/>
    <cellStyle name="Migliaia 33 2" xfId="695" xr:uid="{00000000-0005-0000-0000-0000300B0000}"/>
    <cellStyle name="Migliaia 33 2 2" xfId="2436" xr:uid="{00000000-0005-0000-0000-0000310B0000}"/>
    <cellStyle name="Migliaia 33 2 2 2" xfId="5496" xr:uid="{00000000-0005-0000-0000-0000320B0000}"/>
    <cellStyle name="Migliaia 33 2 2 3" xfId="6418" xr:uid="{00000000-0005-0000-0000-0000330B0000}"/>
    <cellStyle name="Migliaia 33 2 3" xfId="4889" xr:uid="{00000000-0005-0000-0000-0000340B0000}"/>
    <cellStyle name="Migliaia 33 2 4" xfId="5945" xr:uid="{00000000-0005-0000-0000-0000350B0000}"/>
    <cellStyle name="Migliaia 33 3" xfId="696" xr:uid="{00000000-0005-0000-0000-0000360B0000}"/>
    <cellStyle name="Migliaia 33 3 2" xfId="697" xr:uid="{00000000-0005-0000-0000-0000370B0000}"/>
    <cellStyle name="Migliaia 33 3 2 2" xfId="5089" xr:uid="{00000000-0005-0000-0000-0000380B0000}"/>
    <cellStyle name="Migliaia 33 3 2 3" xfId="5947" xr:uid="{00000000-0005-0000-0000-0000390B0000}"/>
    <cellStyle name="Migliaia 33 3 3" xfId="698" xr:uid="{00000000-0005-0000-0000-00003A0B0000}"/>
    <cellStyle name="Migliaia 33 3 3 2" xfId="2438" xr:uid="{00000000-0005-0000-0000-00003B0B0000}"/>
    <cellStyle name="Migliaia 33 3 3 2 2" xfId="5498" xr:uid="{00000000-0005-0000-0000-00003C0B0000}"/>
    <cellStyle name="Migliaia 33 3 3 2 3" xfId="6420" xr:uid="{00000000-0005-0000-0000-00003D0B0000}"/>
    <cellStyle name="Migliaia 33 3 3 3" xfId="5090" xr:uid="{00000000-0005-0000-0000-00003E0B0000}"/>
    <cellStyle name="Migliaia 33 3 3 4" xfId="5948" xr:uid="{00000000-0005-0000-0000-00003F0B0000}"/>
    <cellStyle name="Migliaia 33 3 4" xfId="2437" xr:uid="{00000000-0005-0000-0000-0000400B0000}"/>
    <cellStyle name="Migliaia 33 3 4 2" xfId="5497" xr:uid="{00000000-0005-0000-0000-0000410B0000}"/>
    <cellStyle name="Migliaia 33 3 4 3" xfId="6419" xr:uid="{00000000-0005-0000-0000-0000420B0000}"/>
    <cellStyle name="Migliaia 33 3 5" xfId="5088" xr:uid="{00000000-0005-0000-0000-0000430B0000}"/>
    <cellStyle name="Migliaia 33 3 6" xfId="5946" xr:uid="{00000000-0005-0000-0000-0000440B0000}"/>
    <cellStyle name="Migliaia 33 4" xfId="699" xr:uid="{00000000-0005-0000-0000-0000450B0000}"/>
    <cellStyle name="Migliaia 33 4 2" xfId="700" xr:uid="{00000000-0005-0000-0000-0000460B0000}"/>
    <cellStyle name="Migliaia 33 4 2 2" xfId="2440" xr:uid="{00000000-0005-0000-0000-0000470B0000}"/>
    <cellStyle name="Migliaia 33 4 2 2 2" xfId="5500" xr:uid="{00000000-0005-0000-0000-0000480B0000}"/>
    <cellStyle name="Migliaia 33 4 2 2 3" xfId="6422" xr:uid="{00000000-0005-0000-0000-0000490B0000}"/>
    <cellStyle name="Migliaia 33 4 2 3" xfId="5092" xr:uid="{00000000-0005-0000-0000-00004A0B0000}"/>
    <cellStyle name="Migliaia 33 4 2 4" xfId="5950" xr:uid="{00000000-0005-0000-0000-00004B0B0000}"/>
    <cellStyle name="Migliaia 33 4 3" xfId="2439" xr:uid="{00000000-0005-0000-0000-00004C0B0000}"/>
    <cellStyle name="Migliaia 33 4 3 2" xfId="5499" xr:uid="{00000000-0005-0000-0000-00004D0B0000}"/>
    <cellStyle name="Migliaia 33 4 3 3" xfId="6421" xr:uid="{00000000-0005-0000-0000-00004E0B0000}"/>
    <cellStyle name="Migliaia 33 4 4" xfId="5091" xr:uid="{00000000-0005-0000-0000-00004F0B0000}"/>
    <cellStyle name="Migliaia 33 4 5" xfId="5949" xr:uid="{00000000-0005-0000-0000-0000500B0000}"/>
    <cellStyle name="Migliaia 33 5" xfId="701" xr:uid="{00000000-0005-0000-0000-0000510B0000}"/>
    <cellStyle name="Migliaia 33 5 2" xfId="5093" xr:uid="{00000000-0005-0000-0000-0000520B0000}"/>
    <cellStyle name="Migliaia 33 5 3" xfId="5951" xr:uid="{00000000-0005-0000-0000-0000530B0000}"/>
    <cellStyle name="Migliaia 33 6" xfId="4825" xr:uid="{00000000-0005-0000-0000-0000540B0000}"/>
    <cellStyle name="Migliaia 33 7" xfId="5944" xr:uid="{00000000-0005-0000-0000-0000550B0000}"/>
    <cellStyle name="Migliaia 34" xfId="702" xr:uid="{00000000-0005-0000-0000-0000560B0000}"/>
    <cellStyle name="Migliaia 34 2" xfId="703" xr:uid="{00000000-0005-0000-0000-0000570B0000}"/>
    <cellStyle name="Migliaia 34 2 2" xfId="2441" xr:uid="{00000000-0005-0000-0000-0000580B0000}"/>
    <cellStyle name="Migliaia 34 2 2 2" xfId="5501" xr:uid="{00000000-0005-0000-0000-0000590B0000}"/>
    <cellStyle name="Migliaia 34 2 2 3" xfId="6423" xr:uid="{00000000-0005-0000-0000-00005A0B0000}"/>
    <cellStyle name="Migliaia 34 2 3" xfId="4890" xr:uid="{00000000-0005-0000-0000-00005B0B0000}"/>
    <cellStyle name="Migliaia 34 2 4" xfId="5953" xr:uid="{00000000-0005-0000-0000-00005C0B0000}"/>
    <cellStyle name="Migliaia 34 3" xfId="704" xr:uid="{00000000-0005-0000-0000-00005D0B0000}"/>
    <cellStyle name="Migliaia 34 3 2" xfId="705" xr:uid="{00000000-0005-0000-0000-00005E0B0000}"/>
    <cellStyle name="Migliaia 34 3 2 2" xfId="5095" xr:uid="{00000000-0005-0000-0000-00005F0B0000}"/>
    <cellStyle name="Migliaia 34 3 2 3" xfId="5955" xr:uid="{00000000-0005-0000-0000-0000600B0000}"/>
    <cellStyle name="Migliaia 34 3 3" xfId="706" xr:uid="{00000000-0005-0000-0000-0000610B0000}"/>
    <cellStyle name="Migliaia 34 3 3 2" xfId="2443" xr:uid="{00000000-0005-0000-0000-0000620B0000}"/>
    <cellStyle name="Migliaia 34 3 3 2 2" xfId="5503" xr:uid="{00000000-0005-0000-0000-0000630B0000}"/>
    <cellStyle name="Migliaia 34 3 3 2 3" xfId="6425" xr:uid="{00000000-0005-0000-0000-0000640B0000}"/>
    <cellStyle name="Migliaia 34 3 3 3" xfId="5096" xr:uid="{00000000-0005-0000-0000-0000650B0000}"/>
    <cellStyle name="Migliaia 34 3 3 4" xfId="5956" xr:uid="{00000000-0005-0000-0000-0000660B0000}"/>
    <cellStyle name="Migliaia 34 3 4" xfId="2442" xr:uid="{00000000-0005-0000-0000-0000670B0000}"/>
    <cellStyle name="Migliaia 34 3 4 2" xfId="5502" xr:uid="{00000000-0005-0000-0000-0000680B0000}"/>
    <cellStyle name="Migliaia 34 3 4 3" xfId="6424" xr:uid="{00000000-0005-0000-0000-0000690B0000}"/>
    <cellStyle name="Migliaia 34 3 5" xfId="5094" xr:uid="{00000000-0005-0000-0000-00006A0B0000}"/>
    <cellStyle name="Migliaia 34 3 6" xfId="5954" xr:uid="{00000000-0005-0000-0000-00006B0B0000}"/>
    <cellStyle name="Migliaia 34 4" xfId="707" xr:uid="{00000000-0005-0000-0000-00006C0B0000}"/>
    <cellStyle name="Migliaia 34 4 2" xfId="708" xr:uid="{00000000-0005-0000-0000-00006D0B0000}"/>
    <cellStyle name="Migliaia 34 4 2 2" xfId="2445" xr:uid="{00000000-0005-0000-0000-00006E0B0000}"/>
    <cellStyle name="Migliaia 34 4 2 2 2" xfId="5505" xr:uid="{00000000-0005-0000-0000-00006F0B0000}"/>
    <cellStyle name="Migliaia 34 4 2 2 3" xfId="6427" xr:uid="{00000000-0005-0000-0000-0000700B0000}"/>
    <cellStyle name="Migliaia 34 4 2 3" xfId="5098" xr:uid="{00000000-0005-0000-0000-0000710B0000}"/>
    <cellStyle name="Migliaia 34 4 2 4" xfId="5958" xr:uid="{00000000-0005-0000-0000-0000720B0000}"/>
    <cellStyle name="Migliaia 34 4 3" xfId="2444" xr:uid="{00000000-0005-0000-0000-0000730B0000}"/>
    <cellStyle name="Migliaia 34 4 3 2" xfId="5504" xr:uid="{00000000-0005-0000-0000-0000740B0000}"/>
    <cellStyle name="Migliaia 34 4 3 3" xfId="6426" xr:uid="{00000000-0005-0000-0000-0000750B0000}"/>
    <cellStyle name="Migliaia 34 4 4" xfId="5097" xr:uid="{00000000-0005-0000-0000-0000760B0000}"/>
    <cellStyle name="Migliaia 34 4 5" xfId="5957" xr:uid="{00000000-0005-0000-0000-0000770B0000}"/>
    <cellStyle name="Migliaia 34 5" xfId="709" xr:uid="{00000000-0005-0000-0000-0000780B0000}"/>
    <cellStyle name="Migliaia 34 5 2" xfId="5099" xr:uid="{00000000-0005-0000-0000-0000790B0000}"/>
    <cellStyle name="Migliaia 34 5 3" xfId="5959" xr:uid="{00000000-0005-0000-0000-00007A0B0000}"/>
    <cellStyle name="Migliaia 34 6" xfId="4826" xr:uid="{00000000-0005-0000-0000-00007B0B0000}"/>
    <cellStyle name="Migliaia 34 7" xfId="5952" xr:uid="{00000000-0005-0000-0000-00007C0B0000}"/>
    <cellStyle name="Migliaia 35" xfId="710" xr:uid="{00000000-0005-0000-0000-00007D0B0000}"/>
    <cellStyle name="Migliaia 35 2" xfId="711" xr:uid="{00000000-0005-0000-0000-00007E0B0000}"/>
    <cellStyle name="Migliaia 35 2 2" xfId="2446" xr:uid="{00000000-0005-0000-0000-00007F0B0000}"/>
    <cellStyle name="Migliaia 35 2 2 2" xfId="5506" xr:uid="{00000000-0005-0000-0000-0000800B0000}"/>
    <cellStyle name="Migliaia 35 2 2 3" xfId="6428" xr:uid="{00000000-0005-0000-0000-0000810B0000}"/>
    <cellStyle name="Migliaia 35 2 3" xfId="4891" xr:uid="{00000000-0005-0000-0000-0000820B0000}"/>
    <cellStyle name="Migliaia 35 2 4" xfId="5961" xr:uid="{00000000-0005-0000-0000-0000830B0000}"/>
    <cellStyle name="Migliaia 35 3" xfId="712" xr:uid="{00000000-0005-0000-0000-0000840B0000}"/>
    <cellStyle name="Migliaia 35 3 2" xfId="713" xr:uid="{00000000-0005-0000-0000-0000850B0000}"/>
    <cellStyle name="Migliaia 35 3 2 2" xfId="5101" xr:uid="{00000000-0005-0000-0000-0000860B0000}"/>
    <cellStyle name="Migliaia 35 3 2 3" xfId="5963" xr:uid="{00000000-0005-0000-0000-0000870B0000}"/>
    <cellStyle name="Migliaia 35 3 3" xfId="714" xr:uid="{00000000-0005-0000-0000-0000880B0000}"/>
    <cellStyle name="Migliaia 35 3 3 2" xfId="2448" xr:uid="{00000000-0005-0000-0000-0000890B0000}"/>
    <cellStyle name="Migliaia 35 3 3 2 2" xfId="5508" xr:uid="{00000000-0005-0000-0000-00008A0B0000}"/>
    <cellStyle name="Migliaia 35 3 3 2 3" xfId="6430" xr:uid="{00000000-0005-0000-0000-00008B0B0000}"/>
    <cellStyle name="Migliaia 35 3 3 3" xfId="5102" xr:uid="{00000000-0005-0000-0000-00008C0B0000}"/>
    <cellStyle name="Migliaia 35 3 3 4" xfId="5964" xr:uid="{00000000-0005-0000-0000-00008D0B0000}"/>
    <cellStyle name="Migliaia 35 3 4" xfId="2447" xr:uid="{00000000-0005-0000-0000-00008E0B0000}"/>
    <cellStyle name="Migliaia 35 3 4 2" xfId="5507" xr:uid="{00000000-0005-0000-0000-00008F0B0000}"/>
    <cellStyle name="Migliaia 35 3 4 3" xfId="6429" xr:uid="{00000000-0005-0000-0000-0000900B0000}"/>
    <cellStyle name="Migliaia 35 3 5" xfId="5100" xr:uid="{00000000-0005-0000-0000-0000910B0000}"/>
    <cellStyle name="Migliaia 35 3 6" xfId="5962" xr:uid="{00000000-0005-0000-0000-0000920B0000}"/>
    <cellStyle name="Migliaia 35 4" xfId="715" xr:uid="{00000000-0005-0000-0000-0000930B0000}"/>
    <cellStyle name="Migliaia 35 4 2" xfId="716" xr:uid="{00000000-0005-0000-0000-0000940B0000}"/>
    <cellStyle name="Migliaia 35 4 2 2" xfId="2450" xr:uid="{00000000-0005-0000-0000-0000950B0000}"/>
    <cellStyle name="Migliaia 35 4 2 2 2" xfId="5510" xr:uid="{00000000-0005-0000-0000-0000960B0000}"/>
    <cellStyle name="Migliaia 35 4 2 2 3" xfId="6432" xr:uid="{00000000-0005-0000-0000-0000970B0000}"/>
    <cellStyle name="Migliaia 35 4 2 3" xfId="5104" xr:uid="{00000000-0005-0000-0000-0000980B0000}"/>
    <cellStyle name="Migliaia 35 4 2 4" xfId="5966" xr:uid="{00000000-0005-0000-0000-0000990B0000}"/>
    <cellStyle name="Migliaia 35 4 3" xfId="2449" xr:uid="{00000000-0005-0000-0000-00009A0B0000}"/>
    <cellStyle name="Migliaia 35 4 3 2" xfId="5509" xr:uid="{00000000-0005-0000-0000-00009B0B0000}"/>
    <cellStyle name="Migliaia 35 4 3 3" xfId="6431" xr:uid="{00000000-0005-0000-0000-00009C0B0000}"/>
    <cellStyle name="Migliaia 35 4 4" xfId="5103" xr:uid="{00000000-0005-0000-0000-00009D0B0000}"/>
    <cellStyle name="Migliaia 35 4 5" xfId="5965" xr:uid="{00000000-0005-0000-0000-00009E0B0000}"/>
    <cellStyle name="Migliaia 35 5" xfId="717" xr:uid="{00000000-0005-0000-0000-00009F0B0000}"/>
    <cellStyle name="Migliaia 35 5 2" xfId="5105" xr:uid="{00000000-0005-0000-0000-0000A00B0000}"/>
    <cellStyle name="Migliaia 35 5 3" xfId="5967" xr:uid="{00000000-0005-0000-0000-0000A10B0000}"/>
    <cellStyle name="Migliaia 35 6" xfId="4827" xr:uid="{00000000-0005-0000-0000-0000A20B0000}"/>
    <cellStyle name="Migliaia 35 7" xfId="5960" xr:uid="{00000000-0005-0000-0000-0000A30B0000}"/>
    <cellStyle name="Migliaia 36" xfId="718" xr:uid="{00000000-0005-0000-0000-0000A40B0000}"/>
    <cellStyle name="Migliaia 36 2" xfId="719" xr:uid="{00000000-0005-0000-0000-0000A50B0000}"/>
    <cellStyle name="Migliaia 36 2 2" xfId="2451" xr:uid="{00000000-0005-0000-0000-0000A60B0000}"/>
    <cellStyle name="Migliaia 36 2 2 2" xfId="5511" xr:uid="{00000000-0005-0000-0000-0000A70B0000}"/>
    <cellStyle name="Migliaia 36 2 2 3" xfId="6433" xr:uid="{00000000-0005-0000-0000-0000A80B0000}"/>
    <cellStyle name="Migliaia 36 2 3" xfId="4892" xr:uid="{00000000-0005-0000-0000-0000A90B0000}"/>
    <cellStyle name="Migliaia 36 2 4" xfId="5969" xr:uid="{00000000-0005-0000-0000-0000AA0B0000}"/>
    <cellStyle name="Migliaia 36 3" xfId="720" xr:uid="{00000000-0005-0000-0000-0000AB0B0000}"/>
    <cellStyle name="Migliaia 36 3 2" xfId="721" xr:uid="{00000000-0005-0000-0000-0000AC0B0000}"/>
    <cellStyle name="Migliaia 36 3 2 2" xfId="5107" xr:uid="{00000000-0005-0000-0000-0000AD0B0000}"/>
    <cellStyle name="Migliaia 36 3 2 3" xfId="5971" xr:uid="{00000000-0005-0000-0000-0000AE0B0000}"/>
    <cellStyle name="Migliaia 36 3 3" xfId="722" xr:uid="{00000000-0005-0000-0000-0000AF0B0000}"/>
    <cellStyle name="Migliaia 36 3 3 2" xfId="2453" xr:uid="{00000000-0005-0000-0000-0000B00B0000}"/>
    <cellStyle name="Migliaia 36 3 3 2 2" xfId="5513" xr:uid="{00000000-0005-0000-0000-0000B10B0000}"/>
    <cellStyle name="Migliaia 36 3 3 2 3" xfId="6435" xr:uid="{00000000-0005-0000-0000-0000B20B0000}"/>
    <cellStyle name="Migliaia 36 3 3 3" xfId="5108" xr:uid="{00000000-0005-0000-0000-0000B30B0000}"/>
    <cellStyle name="Migliaia 36 3 3 4" xfId="5972" xr:uid="{00000000-0005-0000-0000-0000B40B0000}"/>
    <cellStyle name="Migliaia 36 3 4" xfId="2452" xr:uid="{00000000-0005-0000-0000-0000B50B0000}"/>
    <cellStyle name="Migliaia 36 3 4 2" xfId="5512" xr:uid="{00000000-0005-0000-0000-0000B60B0000}"/>
    <cellStyle name="Migliaia 36 3 4 3" xfId="6434" xr:uid="{00000000-0005-0000-0000-0000B70B0000}"/>
    <cellStyle name="Migliaia 36 3 5" xfId="5106" xr:uid="{00000000-0005-0000-0000-0000B80B0000}"/>
    <cellStyle name="Migliaia 36 3 6" xfId="5970" xr:uid="{00000000-0005-0000-0000-0000B90B0000}"/>
    <cellStyle name="Migliaia 36 4" xfId="723" xr:uid="{00000000-0005-0000-0000-0000BA0B0000}"/>
    <cellStyle name="Migliaia 36 4 2" xfId="724" xr:uid="{00000000-0005-0000-0000-0000BB0B0000}"/>
    <cellStyle name="Migliaia 36 4 2 2" xfId="2455" xr:uid="{00000000-0005-0000-0000-0000BC0B0000}"/>
    <cellStyle name="Migliaia 36 4 2 2 2" xfId="5515" xr:uid="{00000000-0005-0000-0000-0000BD0B0000}"/>
    <cellStyle name="Migliaia 36 4 2 2 3" xfId="6437" xr:uid="{00000000-0005-0000-0000-0000BE0B0000}"/>
    <cellStyle name="Migliaia 36 4 2 3" xfId="5110" xr:uid="{00000000-0005-0000-0000-0000BF0B0000}"/>
    <cellStyle name="Migliaia 36 4 2 4" xfId="5974" xr:uid="{00000000-0005-0000-0000-0000C00B0000}"/>
    <cellStyle name="Migliaia 36 4 3" xfId="2454" xr:uid="{00000000-0005-0000-0000-0000C10B0000}"/>
    <cellStyle name="Migliaia 36 4 3 2" xfId="5514" xr:uid="{00000000-0005-0000-0000-0000C20B0000}"/>
    <cellStyle name="Migliaia 36 4 3 3" xfId="6436" xr:uid="{00000000-0005-0000-0000-0000C30B0000}"/>
    <cellStyle name="Migliaia 36 4 4" xfId="5109" xr:uid="{00000000-0005-0000-0000-0000C40B0000}"/>
    <cellStyle name="Migliaia 36 4 5" xfId="5973" xr:uid="{00000000-0005-0000-0000-0000C50B0000}"/>
    <cellStyle name="Migliaia 36 5" xfId="725" xr:uid="{00000000-0005-0000-0000-0000C60B0000}"/>
    <cellStyle name="Migliaia 36 5 2" xfId="5111" xr:uid="{00000000-0005-0000-0000-0000C70B0000}"/>
    <cellStyle name="Migliaia 36 5 3" xfId="5975" xr:uid="{00000000-0005-0000-0000-0000C80B0000}"/>
    <cellStyle name="Migliaia 36 6" xfId="4828" xr:uid="{00000000-0005-0000-0000-0000C90B0000}"/>
    <cellStyle name="Migliaia 36 7" xfId="5968" xr:uid="{00000000-0005-0000-0000-0000CA0B0000}"/>
    <cellStyle name="Migliaia 37" xfId="726" xr:uid="{00000000-0005-0000-0000-0000CB0B0000}"/>
    <cellStyle name="Migliaia 37 2" xfId="727" xr:uid="{00000000-0005-0000-0000-0000CC0B0000}"/>
    <cellStyle name="Migliaia 37 2 2" xfId="2456" xr:uid="{00000000-0005-0000-0000-0000CD0B0000}"/>
    <cellStyle name="Migliaia 37 2 2 2" xfId="5516" xr:uid="{00000000-0005-0000-0000-0000CE0B0000}"/>
    <cellStyle name="Migliaia 37 2 2 3" xfId="6438" xr:uid="{00000000-0005-0000-0000-0000CF0B0000}"/>
    <cellStyle name="Migliaia 37 2 3" xfId="4893" xr:uid="{00000000-0005-0000-0000-0000D00B0000}"/>
    <cellStyle name="Migliaia 37 2 4" xfId="5977" xr:uid="{00000000-0005-0000-0000-0000D10B0000}"/>
    <cellStyle name="Migliaia 37 3" xfId="728" xr:uid="{00000000-0005-0000-0000-0000D20B0000}"/>
    <cellStyle name="Migliaia 37 3 2" xfId="729" xr:uid="{00000000-0005-0000-0000-0000D30B0000}"/>
    <cellStyle name="Migliaia 37 3 2 2" xfId="5113" xr:uid="{00000000-0005-0000-0000-0000D40B0000}"/>
    <cellStyle name="Migliaia 37 3 2 3" xfId="5979" xr:uid="{00000000-0005-0000-0000-0000D50B0000}"/>
    <cellStyle name="Migliaia 37 3 3" xfId="730" xr:uid="{00000000-0005-0000-0000-0000D60B0000}"/>
    <cellStyle name="Migliaia 37 3 3 2" xfId="2458" xr:uid="{00000000-0005-0000-0000-0000D70B0000}"/>
    <cellStyle name="Migliaia 37 3 3 2 2" xfId="5518" xr:uid="{00000000-0005-0000-0000-0000D80B0000}"/>
    <cellStyle name="Migliaia 37 3 3 2 3" xfId="6440" xr:uid="{00000000-0005-0000-0000-0000D90B0000}"/>
    <cellStyle name="Migliaia 37 3 3 3" xfId="5114" xr:uid="{00000000-0005-0000-0000-0000DA0B0000}"/>
    <cellStyle name="Migliaia 37 3 3 4" xfId="5980" xr:uid="{00000000-0005-0000-0000-0000DB0B0000}"/>
    <cellStyle name="Migliaia 37 3 4" xfId="2457" xr:uid="{00000000-0005-0000-0000-0000DC0B0000}"/>
    <cellStyle name="Migliaia 37 3 4 2" xfId="5517" xr:uid="{00000000-0005-0000-0000-0000DD0B0000}"/>
    <cellStyle name="Migliaia 37 3 4 3" xfId="6439" xr:uid="{00000000-0005-0000-0000-0000DE0B0000}"/>
    <cellStyle name="Migliaia 37 3 5" xfId="5112" xr:uid="{00000000-0005-0000-0000-0000DF0B0000}"/>
    <cellStyle name="Migliaia 37 3 6" xfId="5978" xr:uid="{00000000-0005-0000-0000-0000E00B0000}"/>
    <cellStyle name="Migliaia 37 4" xfId="731" xr:uid="{00000000-0005-0000-0000-0000E10B0000}"/>
    <cellStyle name="Migliaia 37 4 2" xfId="732" xr:uid="{00000000-0005-0000-0000-0000E20B0000}"/>
    <cellStyle name="Migliaia 37 4 2 2" xfId="2460" xr:uid="{00000000-0005-0000-0000-0000E30B0000}"/>
    <cellStyle name="Migliaia 37 4 2 2 2" xfId="5520" xr:uid="{00000000-0005-0000-0000-0000E40B0000}"/>
    <cellStyle name="Migliaia 37 4 2 2 3" xfId="6442" xr:uid="{00000000-0005-0000-0000-0000E50B0000}"/>
    <cellStyle name="Migliaia 37 4 2 3" xfId="5116" xr:uid="{00000000-0005-0000-0000-0000E60B0000}"/>
    <cellStyle name="Migliaia 37 4 2 4" xfId="5982" xr:uid="{00000000-0005-0000-0000-0000E70B0000}"/>
    <cellStyle name="Migliaia 37 4 3" xfId="2459" xr:uid="{00000000-0005-0000-0000-0000E80B0000}"/>
    <cellStyle name="Migliaia 37 4 3 2" xfId="5519" xr:uid="{00000000-0005-0000-0000-0000E90B0000}"/>
    <cellStyle name="Migliaia 37 4 3 3" xfId="6441" xr:uid="{00000000-0005-0000-0000-0000EA0B0000}"/>
    <cellStyle name="Migliaia 37 4 4" xfId="5115" xr:uid="{00000000-0005-0000-0000-0000EB0B0000}"/>
    <cellStyle name="Migliaia 37 4 5" xfId="5981" xr:uid="{00000000-0005-0000-0000-0000EC0B0000}"/>
    <cellStyle name="Migliaia 37 5" xfId="733" xr:uid="{00000000-0005-0000-0000-0000ED0B0000}"/>
    <cellStyle name="Migliaia 37 5 2" xfId="5117" xr:uid="{00000000-0005-0000-0000-0000EE0B0000}"/>
    <cellStyle name="Migliaia 37 5 3" xfId="5983" xr:uid="{00000000-0005-0000-0000-0000EF0B0000}"/>
    <cellStyle name="Migliaia 37 6" xfId="4829" xr:uid="{00000000-0005-0000-0000-0000F00B0000}"/>
    <cellStyle name="Migliaia 37 7" xfId="5976" xr:uid="{00000000-0005-0000-0000-0000F10B0000}"/>
    <cellStyle name="Migliaia 38" xfId="734" xr:uid="{00000000-0005-0000-0000-0000F20B0000}"/>
    <cellStyle name="Migliaia 38 2" xfId="735" xr:uid="{00000000-0005-0000-0000-0000F30B0000}"/>
    <cellStyle name="Migliaia 38 2 2" xfId="2461" xr:uid="{00000000-0005-0000-0000-0000F40B0000}"/>
    <cellStyle name="Migliaia 38 2 2 2" xfId="5521" xr:uid="{00000000-0005-0000-0000-0000F50B0000}"/>
    <cellStyle name="Migliaia 38 2 2 3" xfId="6443" xr:uid="{00000000-0005-0000-0000-0000F60B0000}"/>
    <cellStyle name="Migliaia 38 2 3" xfId="4894" xr:uid="{00000000-0005-0000-0000-0000F70B0000}"/>
    <cellStyle name="Migliaia 38 2 4" xfId="5985" xr:uid="{00000000-0005-0000-0000-0000F80B0000}"/>
    <cellStyle name="Migliaia 38 3" xfId="736" xr:uid="{00000000-0005-0000-0000-0000F90B0000}"/>
    <cellStyle name="Migliaia 38 3 2" xfId="737" xr:uid="{00000000-0005-0000-0000-0000FA0B0000}"/>
    <cellStyle name="Migliaia 38 3 2 2" xfId="5119" xr:uid="{00000000-0005-0000-0000-0000FB0B0000}"/>
    <cellStyle name="Migliaia 38 3 2 3" xfId="5987" xr:uid="{00000000-0005-0000-0000-0000FC0B0000}"/>
    <cellStyle name="Migliaia 38 3 3" xfId="738" xr:uid="{00000000-0005-0000-0000-0000FD0B0000}"/>
    <cellStyle name="Migliaia 38 3 3 2" xfId="2463" xr:uid="{00000000-0005-0000-0000-0000FE0B0000}"/>
    <cellStyle name="Migliaia 38 3 3 2 2" xfId="5523" xr:uid="{00000000-0005-0000-0000-0000FF0B0000}"/>
    <cellStyle name="Migliaia 38 3 3 2 3" xfId="6445" xr:uid="{00000000-0005-0000-0000-0000000C0000}"/>
    <cellStyle name="Migliaia 38 3 3 3" xfId="5120" xr:uid="{00000000-0005-0000-0000-0000010C0000}"/>
    <cellStyle name="Migliaia 38 3 3 4" xfId="5988" xr:uid="{00000000-0005-0000-0000-0000020C0000}"/>
    <cellStyle name="Migliaia 38 3 4" xfId="2462" xr:uid="{00000000-0005-0000-0000-0000030C0000}"/>
    <cellStyle name="Migliaia 38 3 4 2" xfId="5522" xr:uid="{00000000-0005-0000-0000-0000040C0000}"/>
    <cellStyle name="Migliaia 38 3 4 3" xfId="6444" xr:uid="{00000000-0005-0000-0000-0000050C0000}"/>
    <cellStyle name="Migliaia 38 3 5" xfId="5118" xr:uid="{00000000-0005-0000-0000-0000060C0000}"/>
    <cellStyle name="Migliaia 38 3 6" xfId="5986" xr:uid="{00000000-0005-0000-0000-0000070C0000}"/>
    <cellStyle name="Migliaia 38 4" xfId="739" xr:uid="{00000000-0005-0000-0000-0000080C0000}"/>
    <cellStyle name="Migliaia 38 4 2" xfId="740" xr:uid="{00000000-0005-0000-0000-0000090C0000}"/>
    <cellStyle name="Migliaia 38 4 2 2" xfId="2465" xr:uid="{00000000-0005-0000-0000-00000A0C0000}"/>
    <cellStyle name="Migliaia 38 4 2 2 2" xfId="5525" xr:uid="{00000000-0005-0000-0000-00000B0C0000}"/>
    <cellStyle name="Migliaia 38 4 2 2 3" xfId="6447" xr:uid="{00000000-0005-0000-0000-00000C0C0000}"/>
    <cellStyle name="Migliaia 38 4 2 3" xfId="5122" xr:uid="{00000000-0005-0000-0000-00000D0C0000}"/>
    <cellStyle name="Migliaia 38 4 2 4" xfId="5990" xr:uid="{00000000-0005-0000-0000-00000E0C0000}"/>
    <cellStyle name="Migliaia 38 4 3" xfId="2464" xr:uid="{00000000-0005-0000-0000-00000F0C0000}"/>
    <cellStyle name="Migliaia 38 4 3 2" xfId="5524" xr:uid="{00000000-0005-0000-0000-0000100C0000}"/>
    <cellStyle name="Migliaia 38 4 3 3" xfId="6446" xr:uid="{00000000-0005-0000-0000-0000110C0000}"/>
    <cellStyle name="Migliaia 38 4 4" xfId="5121" xr:uid="{00000000-0005-0000-0000-0000120C0000}"/>
    <cellStyle name="Migliaia 38 4 5" xfId="5989" xr:uid="{00000000-0005-0000-0000-0000130C0000}"/>
    <cellStyle name="Migliaia 38 5" xfId="741" xr:uid="{00000000-0005-0000-0000-0000140C0000}"/>
    <cellStyle name="Migliaia 38 5 2" xfId="5123" xr:uid="{00000000-0005-0000-0000-0000150C0000}"/>
    <cellStyle name="Migliaia 38 5 3" xfId="5991" xr:uid="{00000000-0005-0000-0000-0000160C0000}"/>
    <cellStyle name="Migliaia 38 6" xfId="4830" xr:uid="{00000000-0005-0000-0000-0000170C0000}"/>
    <cellStyle name="Migliaia 38 7" xfId="5984" xr:uid="{00000000-0005-0000-0000-0000180C0000}"/>
    <cellStyle name="Migliaia 39" xfId="742" xr:uid="{00000000-0005-0000-0000-0000190C0000}"/>
    <cellStyle name="Migliaia 39 2" xfId="743" xr:uid="{00000000-0005-0000-0000-00001A0C0000}"/>
    <cellStyle name="Migliaia 39 2 2" xfId="2466" xr:uid="{00000000-0005-0000-0000-00001B0C0000}"/>
    <cellStyle name="Migliaia 39 2 2 2" xfId="5526" xr:uid="{00000000-0005-0000-0000-00001C0C0000}"/>
    <cellStyle name="Migliaia 39 2 2 3" xfId="6448" xr:uid="{00000000-0005-0000-0000-00001D0C0000}"/>
    <cellStyle name="Migliaia 39 2 3" xfId="4895" xr:uid="{00000000-0005-0000-0000-00001E0C0000}"/>
    <cellStyle name="Migliaia 39 2 4" xfId="5993" xr:uid="{00000000-0005-0000-0000-00001F0C0000}"/>
    <cellStyle name="Migliaia 39 3" xfId="744" xr:uid="{00000000-0005-0000-0000-0000200C0000}"/>
    <cellStyle name="Migliaia 39 3 2" xfId="745" xr:uid="{00000000-0005-0000-0000-0000210C0000}"/>
    <cellStyle name="Migliaia 39 3 2 2" xfId="5125" xr:uid="{00000000-0005-0000-0000-0000220C0000}"/>
    <cellStyle name="Migliaia 39 3 2 3" xfId="5995" xr:uid="{00000000-0005-0000-0000-0000230C0000}"/>
    <cellStyle name="Migliaia 39 3 3" xfId="746" xr:uid="{00000000-0005-0000-0000-0000240C0000}"/>
    <cellStyle name="Migliaia 39 3 3 2" xfId="2468" xr:uid="{00000000-0005-0000-0000-0000250C0000}"/>
    <cellStyle name="Migliaia 39 3 3 2 2" xfId="5528" xr:uid="{00000000-0005-0000-0000-0000260C0000}"/>
    <cellStyle name="Migliaia 39 3 3 2 3" xfId="6450" xr:uid="{00000000-0005-0000-0000-0000270C0000}"/>
    <cellStyle name="Migliaia 39 3 3 3" xfId="5126" xr:uid="{00000000-0005-0000-0000-0000280C0000}"/>
    <cellStyle name="Migliaia 39 3 3 4" xfId="5996" xr:uid="{00000000-0005-0000-0000-0000290C0000}"/>
    <cellStyle name="Migliaia 39 3 4" xfId="2467" xr:uid="{00000000-0005-0000-0000-00002A0C0000}"/>
    <cellStyle name="Migliaia 39 3 4 2" xfId="5527" xr:uid="{00000000-0005-0000-0000-00002B0C0000}"/>
    <cellStyle name="Migliaia 39 3 4 3" xfId="6449" xr:uid="{00000000-0005-0000-0000-00002C0C0000}"/>
    <cellStyle name="Migliaia 39 3 5" xfId="5124" xr:uid="{00000000-0005-0000-0000-00002D0C0000}"/>
    <cellStyle name="Migliaia 39 3 6" xfId="5994" xr:uid="{00000000-0005-0000-0000-00002E0C0000}"/>
    <cellStyle name="Migliaia 39 4" xfId="747" xr:uid="{00000000-0005-0000-0000-00002F0C0000}"/>
    <cellStyle name="Migliaia 39 4 2" xfId="748" xr:uid="{00000000-0005-0000-0000-0000300C0000}"/>
    <cellStyle name="Migliaia 39 4 2 2" xfId="2470" xr:uid="{00000000-0005-0000-0000-0000310C0000}"/>
    <cellStyle name="Migliaia 39 4 2 2 2" xfId="5530" xr:uid="{00000000-0005-0000-0000-0000320C0000}"/>
    <cellStyle name="Migliaia 39 4 2 2 3" xfId="6452" xr:uid="{00000000-0005-0000-0000-0000330C0000}"/>
    <cellStyle name="Migliaia 39 4 2 3" xfId="5128" xr:uid="{00000000-0005-0000-0000-0000340C0000}"/>
    <cellStyle name="Migliaia 39 4 2 4" xfId="5998" xr:uid="{00000000-0005-0000-0000-0000350C0000}"/>
    <cellStyle name="Migliaia 39 4 3" xfId="2469" xr:uid="{00000000-0005-0000-0000-0000360C0000}"/>
    <cellStyle name="Migliaia 39 4 3 2" xfId="5529" xr:uid="{00000000-0005-0000-0000-0000370C0000}"/>
    <cellStyle name="Migliaia 39 4 3 3" xfId="6451" xr:uid="{00000000-0005-0000-0000-0000380C0000}"/>
    <cellStyle name="Migliaia 39 4 4" xfId="5127" xr:uid="{00000000-0005-0000-0000-0000390C0000}"/>
    <cellStyle name="Migliaia 39 4 5" xfId="5997" xr:uid="{00000000-0005-0000-0000-00003A0C0000}"/>
    <cellStyle name="Migliaia 39 5" xfId="749" xr:uid="{00000000-0005-0000-0000-00003B0C0000}"/>
    <cellStyle name="Migliaia 39 5 2" xfId="5129" xr:uid="{00000000-0005-0000-0000-00003C0C0000}"/>
    <cellStyle name="Migliaia 39 5 3" xfId="5999" xr:uid="{00000000-0005-0000-0000-00003D0C0000}"/>
    <cellStyle name="Migliaia 39 6" xfId="4831" xr:uid="{00000000-0005-0000-0000-00003E0C0000}"/>
    <cellStyle name="Migliaia 39 7" xfId="5992" xr:uid="{00000000-0005-0000-0000-00003F0C0000}"/>
    <cellStyle name="Migliaia 4" xfId="750" xr:uid="{00000000-0005-0000-0000-0000400C0000}"/>
    <cellStyle name="Migliaia 4 2" xfId="751" xr:uid="{00000000-0005-0000-0000-0000410C0000}"/>
    <cellStyle name="Migliaia 4 2 2" xfId="2471" xr:uid="{00000000-0005-0000-0000-0000420C0000}"/>
    <cellStyle name="Migliaia 4 2 2 2" xfId="5531" xr:uid="{00000000-0005-0000-0000-0000430C0000}"/>
    <cellStyle name="Migliaia 4 2 2 3" xfId="6453" xr:uid="{00000000-0005-0000-0000-0000440C0000}"/>
    <cellStyle name="Migliaia 4 2 3" xfId="4896" xr:uid="{00000000-0005-0000-0000-0000450C0000}"/>
    <cellStyle name="Migliaia 4 2 4" xfId="6001" xr:uid="{00000000-0005-0000-0000-0000460C0000}"/>
    <cellStyle name="Migliaia 4 3" xfId="752" xr:uid="{00000000-0005-0000-0000-0000470C0000}"/>
    <cellStyle name="Migliaia 4 3 2" xfId="753" xr:uid="{00000000-0005-0000-0000-0000480C0000}"/>
    <cellStyle name="Migliaia 4 3 2 2" xfId="5131" xr:uid="{00000000-0005-0000-0000-0000490C0000}"/>
    <cellStyle name="Migliaia 4 3 2 3" xfId="6003" xr:uid="{00000000-0005-0000-0000-00004A0C0000}"/>
    <cellStyle name="Migliaia 4 3 3" xfId="754" xr:uid="{00000000-0005-0000-0000-00004B0C0000}"/>
    <cellStyle name="Migliaia 4 3 3 2" xfId="2473" xr:uid="{00000000-0005-0000-0000-00004C0C0000}"/>
    <cellStyle name="Migliaia 4 3 3 2 2" xfId="5533" xr:uid="{00000000-0005-0000-0000-00004D0C0000}"/>
    <cellStyle name="Migliaia 4 3 3 2 3" xfId="6455" xr:uid="{00000000-0005-0000-0000-00004E0C0000}"/>
    <cellStyle name="Migliaia 4 3 3 3" xfId="5132" xr:uid="{00000000-0005-0000-0000-00004F0C0000}"/>
    <cellStyle name="Migliaia 4 3 3 4" xfId="6004" xr:uid="{00000000-0005-0000-0000-0000500C0000}"/>
    <cellStyle name="Migliaia 4 3 4" xfId="2472" xr:uid="{00000000-0005-0000-0000-0000510C0000}"/>
    <cellStyle name="Migliaia 4 3 4 2" xfId="5532" xr:uid="{00000000-0005-0000-0000-0000520C0000}"/>
    <cellStyle name="Migliaia 4 3 4 3" xfId="6454" xr:uid="{00000000-0005-0000-0000-0000530C0000}"/>
    <cellStyle name="Migliaia 4 3 5" xfId="5130" xr:uid="{00000000-0005-0000-0000-0000540C0000}"/>
    <cellStyle name="Migliaia 4 3 6" xfId="6002" xr:uid="{00000000-0005-0000-0000-0000550C0000}"/>
    <cellStyle name="Migliaia 4 4" xfId="755" xr:uid="{00000000-0005-0000-0000-0000560C0000}"/>
    <cellStyle name="Migliaia 4 4 2" xfId="756" xr:uid="{00000000-0005-0000-0000-0000570C0000}"/>
    <cellStyle name="Migliaia 4 4 2 2" xfId="2475" xr:uid="{00000000-0005-0000-0000-0000580C0000}"/>
    <cellStyle name="Migliaia 4 4 2 2 2" xfId="5535" xr:uid="{00000000-0005-0000-0000-0000590C0000}"/>
    <cellStyle name="Migliaia 4 4 2 2 3" xfId="6457" xr:uid="{00000000-0005-0000-0000-00005A0C0000}"/>
    <cellStyle name="Migliaia 4 4 2 3" xfId="5134" xr:uid="{00000000-0005-0000-0000-00005B0C0000}"/>
    <cellStyle name="Migliaia 4 4 2 4" xfId="6006" xr:uid="{00000000-0005-0000-0000-00005C0C0000}"/>
    <cellStyle name="Migliaia 4 4 3" xfId="2474" xr:uid="{00000000-0005-0000-0000-00005D0C0000}"/>
    <cellStyle name="Migliaia 4 4 3 2" xfId="5534" xr:uid="{00000000-0005-0000-0000-00005E0C0000}"/>
    <cellStyle name="Migliaia 4 4 3 3" xfId="6456" xr:uid="{00000000-0005-0000-0000-00005F0C0000}"/>
    <cellStyle name="Migliaia 4 4 4" xfId="5133" xr:uid="{00000000-0005-0000-0000-0000600C0000}"/>
    <cellStyle name="Migliaia 4 4 5" xfId="6005" xr:uid="{00000000-0005-0000-0000-0000610C0000}"/>
    <cellStyle name="Migliaia 4 5" xfId="757" xr:uid="{00000000-0005-0000-0000-0000620C0000}"/>
    <cellStyle name="Migliaia 4 5 2" xfId="5135" xr:uid="{00000000-0005-0000-0000-0000630C0000}"/>
    <cellStyle name="Migliaia 4 5 3" xfId="6007" xr:uid="{00000000-0005-0000-0000-0000640C0000}"/>
    <cellStyle name="Migliaia 4 6" xfId="4832" xr:uid="{00000000-0005-0000-0000-0000650C0000}"/>
    <cellStyle name="Migliaia 4 7" xfId="6000" xr:uid="{00000000-0005-0000-0000-0000660C0000}"/>
    <cellStyle name="Migliaia 40" xfId="758" xr:uid="{00000000-0005-0000-0000-0000670C0000}"/>
    <cellStyle name="Migliaia 40 2" xfId="759" xr:uid="{00000000-0005-0000-0000-0000680C0000}"/>
    <cellStyle name="Migliaia 40 2 2" xfId="2476" xr:uid="{00000000-0005-0000-0000-0000690C0000}"/>
    <cellStyle name="Migliaia 40 2 2 2" xfId="5536" xr:uid="{00000000-0005-0000-0000-00006A0C0000}"/>
    <cellStyle name="Migliaia 40 2 2 3" xfId="6458" xr:uid="{00000000-0005-0000-0000-00006B0C0000}"/>
    <cellStyle name="Migliaia 40 2 3" xfId="4897" xr:uid="{00000000-0005-0000-0000-00006C0C0000}"/>
    <cellStyle name="Migliaia 40 2 4" xfId="6009" xr:uid="{00000000-0005-0000-0000-00006D0C0000}"/>
    <cellStyle name="Migliaia 40 3" xfId="760" xr:uid="{00000000-0005-0000-0000-00006E0C0000}"/>
    <cellStyle name="Migliaia 40 3 2" xfId="761" xr:uid="{00000000-0005-0000-0000-00006F0C0000}"/>
    <cellStyle name="Migliaia 40 3 2 2" xfId="5137" xr:uid="{00000000-0005-0000-0000-0000700C0000}"/>
    <cellStyle name="Migliaia 40 3 2 3" xfId="6011" xr:uid="{00000000-0005-0000-0000-0000710C0000}"/>
    <cellStyle name="Migliaia 40 3 3" xfId="762" xr:uid="{00000000-0005-0000-0000-0000720C0000}"/>
    <cellStyle name="Migliaia 40 3 3 2" xfId="2478" xr:uid="{00000000-0005-0000-0000-0000730C0000}"/>
    <cellStyle name="Migliaia 40 3 3 2 2" xfId="5538" xr:uid="{00000000-0005-0000-0000-0000740C0000}"/>
    <cellStyle name="Migliaia 40 3 3 2 3" xfId="6460" xr:uid="{00000000-0005-0000-0000-0000750C0000}"/>
    <cellStyle name="Migliaia 40 3 3 3" xfId="5138" xr:uid="{00000000-0005-0000-0000-0000760C0000}"/>
    <cellStyle name="Migliaia 40 3 3 4" xfId="6012" xr:uid="{00000000-0005-0000-0000-0000770C0000}"/>
    <cellStyle name="Migliaia 40 3 4" xfId="2477" xr:uid="{00000000-0005-0000-0000-0000780C0000}"/>
    <cellStyle name="Migliaia 40 3 4 2" xfId="5537" xr:uid="{00000000-0005-0000-0000-0000790C0000}"/>
    <cellStyle name="Migliaia 40 3 4 3" xfId="6459" xr:uid="{00000000-0005-0000-0000-00007A0C0000}"/>
    <cellStyle name="Migliaia 40 3 5" xfId="5136" xr:uid="{00000000-0005-0000-0000-00007B0C0000}"/>
    <cellStyle name="Migliaia 40 3 6" xfId="6010" xr:uid="{00000000-0005-0000-0000-00007C0C0000}"/>
    <cellStyle name="Migliaia 40 4" xfId="763" xr:uid="{00000000-0005-0000-0000-00007D0C0000}"/>
    <cellStyle name="Migliaia 40 4 2" xfId="764" xr:uid="{00000000-0005-0000-0000-00007E0C0000}"/>
    <cellStyle name="Migliaia 40 4 2 2" xfId="2480" xr:uid="{00000000-0005-0000-0000-00007F0C0000}"/>
    <cellStyle name="Migliaia 40 4 2 2 2" xfId="5540" xr:uid="{00000000-0005-0000-0000-0000800C0000}"/>
    <cellStyle name="Migliaia 40 4 2 2 3" xfId="6462" xr:uid="{00000000-0005-0000-0000-0000810C0000}"/>
    <cellStyle name="Migliaia 40 4 2 3" xfId="5140" xr:uid="{00000000-0005-0000-0000-0000820C0000}"/>
    <cellStyle name="Migliaia 40 4 2 4" xfId="6014" xr:uid="{00000000-0005-0000-0000-0000830C0000}"/>
    <cellStyle name="Migliaia 40 4 3" xfId="2479" xr:uid="{00000000-0005-0000-0000-0000840C0000}"/>
    <cellStyle name="Migliaia 40 4 3 2" xfId="5539" xr:uid="{00000000-0005-0000-0000-0000850C0000}"/>
    <cellStyle name="Migliaia 40 4 3 3" xfId="6461" xr:uid="{00000000-0005-0000-0000-0000860C0000}"/>
    <cellStyle name="Migliaia 40 4 4" xfId="5139" xr:uid="{00000000-0005-0000-0000-0000870C0000}"/>
    <cellStyle name="Migliaia 40 4 5" xfId="6013" xr:uid="{00000000-0005-0000-0000-0000880C0000}"/>
    <cellStyle name="Migliaia 40 5" xfId="765" xr:uid="{00000000-0005-0000-0000-0000890C0000}"/>
    <cellStyle name="Migliaia 40 5 2" xfId="5141" xr:uid="{00000000-0005-0000-0000-00008A0C0000}"/>
    <cellStyle name="Migliaia 40 5 3" xfId="6015" xr:uid="{00000000-0005-0000-0000-00008B0C0000}"/>
    <cellStyle name="Migliaia 40 6" xfId="4833" xr:uid="{00000000-0005-0000-0000-00008C0C0000}"/>
    <cellStyle name="Migliaia 40 7" xfId="6008" xr:uid="{00000000-0005-0000-0000-00008D0C0000}"/>
    <cellStyle name="Migliaia 41" xfId="766" xr:uid="{00000000-0005-0000-0000-00008E0C0000}"/>
    <cellStyle name="Migliaia 41 2" xfId="767" xr:uid="{00000000-0005-0000-0000-00008F0C0000}"/>
    <cellStyle name="Migliaia 41 2 2" xfId="2481" xr:uid="{00000000-0005-0000-0000-0000900C0000}"/>
    <cellStyle name="Migliaia 41 2 2 2" xfId="5541" xr:uid="{00000000-0005-0000-0000-0000910C0000}"/>
    <cellStyle name="Migliaia 41 2 2 3" xfId="6463" xr:uid="{00000000-0005-0000-0000-0000920C0000}"/>
    <cellStyle name="Migliaia 41 2 3" xfId="4898" xr:uid="{00000000-0005-0000-0000-0000930C0000}"/>
    <cellStyle name="Migliaia 41 2 4" xfId="6017" xr:uid="{00000000-0005-0000-0000-0000940C0000}"/>
    <cellStyle name="Migliaia 41 3" xfId="768" xr:uid="{00000000-0005-0000-0000-0000950C0000}"/>
    <cellStyle name="Migliaia 41 3 2" xfId="769" xr:uid="{00000000-0005-0000-0000-0000960C0000}"/>
    <cellStyle name="Migliaia 41 3 2 2" xfId="5143" xr:uid="{00000000-0005-0000-0000-0000970C0000}"/>
    <cellStyle name="Migliaia 41 3 2 3" xfId="6019" xr:uid="{00000000-0005-0000-0000-0000980C0000}"/>
    <cellStyle name="Migliaia 41 3 3" xfId="770" xr:uid="{00000000-0005-0000-0000-0000990C0000}"/>
    <cellStyle name="Migliaia 41 3 3 2" xfId="2483" xr:uid="{00000000-0005-0000-0000-00009A0C0000}"/>
    <cellStyle name="Migliaia 41 3 3 2 2" xfId="5543" xr:uid="{00000000-0005-0000-0000-00009B0C0000}"/>
    <cellStyle name="Migliaia 41 3 3 2 3" xfId="6465" xr:uid="{00000000-0005-0000-0000-00009C0C0000}"/>
    <cellStyle name="Migliaia 41 3 3 3" xfId="5144" xr:uid="{00000000-0005-0000-0000-00009D0C0000}"/>
    <cellStyle name="Migliaia 41 3 3 4" xfId="6020" xr:uid="{00000000-0005-0000-0000-00009E0C0000}"/>
    <cellStyle name="Migliaia 41 3 4" xfId="2482" xr:uid="{00000000-0005-0000-0000-00009F0C0000}"/>
    <cellStyle name="Migliaia 41 3 4 2" xfId="5542" xr:uid="{00000000-0005-0000-0000-0000A00C0000}"/>
    <cellStyle name="Migliaia 41 3 4 3" xfId="6464" xr:uid="{00000000-0005-0000-0000-0000A10C0000}"/>
    <cellStyle name="Migliaia 41 3 5" xfId="5142" xr:uid="{00000000-0005-0000-0000-0000A20C0000}"/>
    <cellStyle name="Migliaia 41 3 6" xfId="6018" xr:uid="{00000000-0005-0000-0000-0000A30C0000}"/>
    <cellStyle name="Migliaia 41 4" xfId="771" xr:uid="{00000000-0005-0000-0000-0000A40C0000}"/>
    <cellStyle name="Migliaia 41 4 2" xfId="772" xr:uid="{00000000-0005-0000-0000-0000A50C0000}"/>
    <cellStyle name="Migliaia 41 4 2 2" xfId="2485" xr:uid="{00000000-0005-0000-0000-0000A60C0000}"/>
    <cellStyle name="Migliaia 41 4 2 2 2" xfId="5545" xr:uid="{00000000-0005-0000-0000-0000A70C0000}"/>
    <cellStyle name="Migliaia 41 4 2 2 3" xfId="6467" xr:uid="{00000000-0005-0000-0000-0000A80C0000}"/>
    <cellStyle name="Migliaia 41 4 2 3" xfId="5146" xr:uid="{00000000-0005-0000-0000-0000A90C0000}"/>
    <cellStyle name="Migliaia 41 4 2 4" xfId="6022" xr:uid="{00000000-0005-0000-0000-0000AA0C0000}"/>
    <cellStyle name="Migliaia 41 4 3" xfId="2484" xr:uid="{00000000-0005-0000-0000-0000AB0C0000}"/>
    <cellStyle name="Migliaia 41 4 3 2" xfId="5544" xr:uid="{00000000-0005-0000-0000-0000AC0C0000}"/>
    <cellStyle name="Migliaia 41 4 3 3" xfId="6466" xr:uid="{00000000-0005-0000-0000-0000AD0C0000}"/>
    <cellStyle name="Migliaia 41 4 4" xfId="5145" xr:uid="{00000000-0005-0000-0000-0000AE0C0000}"/>
    <cellStyle name="Migliaia 41 4 5" xfId="6021" xr:uid="{00000000-0005-0000-0000-0000AF0C0000}"/>
    <cellStyle name="Migliaia 41 5" xfId="773" xr:uid="{00000000-0005-0000-0000-0000B00C0000}"/>
    <cellStyle name="Migliaia 41 5 2" xfId="5147" xr:uid="{00000000-0005-0000-0000-0000B10C0000}"/>
    <cellStyle name="Migliaia 41 5 3" xfId="6023" xr:uid="{00000000-0005-0000-0000-0000B20C0000}"/>
    <cellStyle name="Migliaia 41 6" xfId="4834" xr:uid="{00000000-0005-0000-0000-0000B30C0000}"/>
    <cellStyle name="Migliaia 41 7" xfId="6016" xr:uid="{00000000-0005-0000-0000-0000B40C0000}"/>
    <cellStyle name="Migliaia 42" xfId="774" xr:uid="{00000000-0005-0000-0000-0000B50C0000}"/>
    <cellStyle name="Migliaia 42 2" xfId="775" xr:uid="{00000000-0005-0000-0000-0000B60C0000}"/>
    <cellStyle name="Migliaia 42 2 2" xfId="2486" xr:uid="{00000000-0005-0000-0000-0000B70C0000}"/>
    <cellStyle name="Migliaia 42 2 2 2" xfId="5546" xr:uid="{00000000-0005-0000-0000-0000B80C0000}"/>
    <cellStyle name="Migliaia 42 2 2 3" xfId="6468" xr:uid="{00000000-0005-0000-0000-0000B90C0000}"/>
    <cellStyle name="Migliaia 42 2 3" xfId="4899" xr:uid="{00000000-0005-0000-0000-0000BA0C0000}"/>
    <cellStyle name="Migliaia 42 2 4" xfId="6025" xr:uid="{00000000-0005-0000-0000-0000BB0C0000}"/>
    <cellStyle name="Migliaia 42 3" xfId="776" xr:uid="{00000000-0005-0000-0000-0000BC0C0000}"/>
    <cellStyle name="Migliaia 42 3 2" xfId="777" xr:uid="{00000000-0005-0000-0000-0000BD0C0000}"/>
    <cellStyle name="Migliaia 42 3 2 2" xfId="5149" xr:uid="{00000000-0005-0000-0000-0000BE0C0000}"/>
    <cellStyle name="Migliaia 42 3 2 3" xfId="6027" xr:uid="{00000000-0005-0000-0000-0000BF0C0000}"/>
    <cellStyle name="Migliaia 42 3 3" xfId="778" xr:uid="{00000000-0005-0000-0000-0000C00C0000}"/>
    <cellStyle name="Migliaia 42 3 3 2" xfId="2488" xr:uid="{00000000-0005-0000-0000-0000C10C0000}"/>
    <cellStyle name="Migliaia 42 3 3 2 2" xfId="5548" xr:uid="{00000000-0005-0000-0000-0000C20C0000}"/>
    <cellStyle name="Migliaia 42 3 3 2 3" xfId="6470" xr:uid="{00000000-0005-0000-0000-0000C30C0000}"/>
    <cellStyle name="Migliaia 42 3 3 3" xfId="5150" xr:uid="{00000000-0005-0000-0000-0000C40C0000}"/>
    <cellStyle name="Migliaia 42 3 3 4" xfId="6028" xr:uid="{00000000-0005-0000-0000-0000C50C0000}"/>
    <cellStyle name="Migliaia 42 3 4" xfId="2487" xr:uid="{00000000-0005-0000-0000-0000C60C0000}"/>
    <cellStyle name="Migliaia 42 3 4 2" xfId="5547" xr:uid="{00000000-0005-0000-0000-0000C70C0000}"/>
    <cellStyle name="Migliaia 42 3 4 3" xfId="6469" xr:uid="{00000000-0005-0000-0000-0000C80C0000}"/>
    <cellStyle name="Migliaia 42 3 5" xfId="5148" xr:uid="{00000000-0005-0000-0000-0000C90C0000}"/>
    <cellStyle name="Migliaia 42 3 6" xfId="6026" xr:uid="{00000000-0005-0000-0000-0000CA0C0000}"/>
    <cellStyle name="Migliaia 42 4" xfId="779" xr:uid="{00000000-0005-0000-0000-0000CB0C0000}"/>
    <cellStyle name="Migliaia 42 4 2" xfId="780" xr:uid="{00000000-0005-0000-0000-0000CC0C0000}"/>
    <cellStyle name="Migliaia 42 4 2 2" xfId="2490" xr:uid="{00000000-0005-0000-0000-0000CD0C0000}"/>
    <cellStyle name="Migliaia 42 4 2 2 2" xfId="5550" xr:uid="{00000000-0005-0000-0000-0000CE0C0000}"/>
    <cellStyle name="Migliaia 42 4 2 2 3" xfId="6472" xr:uid="{00000000-0005-0000-0000-0000CF0C0000}"/>
    <cellStyle name="Migliaia 42 4 2 3" xfId="5152" xr:uid="{00000000-0005-0000-0000-0000D00C0000}"/>
    <cellStyle name="Migliaia 42 4 2 4" xfId="6030" xr:uid="{00000000-0005-0000-0000-0000D10C0000}"/>
    <cellStyle name="Migliaia 42 4 3" xfId="2489" xr:uid="{00000000-0005-0000-0000-0000D20C0000}"/>
    <cellStyle name="Migliaia 42 4 3 2" xfId="5549" xr:uid="{00000000-0005-0000-0000-0000D30C0000}"/>
    <cellStyle name="Migliaia 42 4 3 3" xfId="6471" xr:uid="{00000000-0005-0000-0000-0000D40C0000}"/>
    <cellStyle name="Migliaia 42 4 4" xfId="5151" xr:uid="{00000000-0005-0000-0000-0000D50C0000}"/>
    <cellStyle name="Migliaia 42 4 5" xfId="6029" xr:uid="{00000000-0005-0000-0000-0000D60C0000}"/>
    <cellStyle name="Migliaia 42 5" xfId="781" xr:uid="{00000000-0005-0000-0000-0000D70C0000}"/>
    <cellStyle name="Migliaia 42 5 2" xfId="5153" xr:uid="{00000000-0005-0000-0000-0000D80C0000}"/>
    <cellStyle name="Migliaia 42 5 3" xfId="6031" xr:uid="{00000000-0005-0000-0000-0000D90C0000}"/>
    <cellStyle name="Migliaia 42 6" xfId="4835" xr:uid="{00000000-0005-0000-0000-0000DA0C0000}"/>
    <cellStyle name="Migliaia 42 7" xfId="6024" xr:uid="{00000000-0005-0000-0000-0000DB0C0000}"/>
    <cellStyle name="Migliaia 43" xfId="782" xr:uid="{00000000-0005-0000-0000-0000DC0C0000}"/>
    <cellStyle name="Migliaia 43 2" xfId="783" xr:uid="{00000000-0005-0000-0000-0000DD0C0000}"/>
    <cellStyle name="Migliaia 43 2 2" xfId="2491" xr:uid="{00000000-0005-0000-0000-0000DE0C0000}"/>
    <cellStyle name="Migliaia 43 2 2 2" xfId="5551" xr:uid="{00000000-0005-0000-0000-0000DF0C0000}"/>
    <cellStyle name="Migliaia 43 2 2 3" xfId="6473" xr:uid="{00000000-0005-0000-0000-0000E00C0000}"/>
    <cellStyle name="Migliaia 43 2 3" xfId="4900" xr:uid="{00000000-0005-0000-0000-0000E10C0000}"/>
    <cellStyle name="Migliaia 43 2 4" xfId="6033" xr:uid="{00000000-0005-0000-0000-0000E20C0000}"/>
    <cellStyle name="Migliaia 43 3" xfId="784" xr:uid="{00000000-0005-0000-0000-0000E30C0000}"/>
    <cellStyle name="Migliaia 43 3 2" xfId="785" xr:uid="{00000000-0005-0000-0000-0000E40C0000}"/>
    <cellStyle name="Migliaia 43 3 2 2" xfId="5155" xr:uid="{00000000-0005-0000-0000-0000E50C0000}"/>
    <cellStyle name="Migliaia 43 3 2 3" xfId="6035" xr:uid="{00000000-0005-0000-0000-0000E60C0000}"/>
    <cellStyle name="Migliaia 43 3 3" xfId="786" xr:uid="{00000000-0005-0000-0000-0000E70C0000}"/>
    <cellStyle name="Migliaia 43 3 3 2" xfId="2493" xr:uid="{00000000-0005-0000-0000-0000E80C0000}"/>
    <cellStyle name="Migliaia 43 3 3 2 2" xfId="5553" xr:uid="{00000000-0005-0000-0000-0000E90C0000}"/>
    <cellStyle name="Migliaia 43 3 3 2 3" xfId="6475" xr:uid="{00000000-0005-0000-0000-0000EA0C0000}"/>
    <cellStyle name="Migliaia 43 3 3 3" xfId="5156" xr:uid="{00000000-0005-0000-0000-0000EB0C0000}"/>
    <cellStyle name="Migliaia 43 3 3 4" xfId="6036" xr:uid="{00000000-0005-0000-0000-0000EC0C0000}"/>
    <cellStyle name="Migliaia 43 3 4" xfId="2492" xr:uid="{00000000-0005-0000-0000-0000ED0C0000}"/>
    <cellStyle name="Migliaia 43 3 4 2" xfId="5552" xr:uid="{00000000-0005-0000-0000-0000EE0C0000}"/>
    <cellStyle name="Migliaia 43 3 4 3" xfId="6474" xr:uid="{00000000-0005-0000-0000-0000EF0C0000}"/>
    <cellStyle name="Migliaia 43 3 5" xfId="5154" xr:uid="{00000000-0005-0000-0000-0000F00C0000}"/>
    <cellStyle name="Migliaia 43 3 6" xfId="6034" xr:uid="{00000000-0005-0000-0000-0000F10C0000}"/>
    <cellStyle name="Migliaia 43 4" xfId="787" xr:uid="{00000000-0005-0000-0000-0000F20C0000}"/>
    <cellStyle name="Migliaia 43 4 2" xfId="788" xr:uid="{00000000-0005-0000-0000-0000F30C0000}"/>
    <cellStyle name="Migliaia 43 4 2 2" xfId="2495" xr:uid="{00000000-0005-0000-0000-0000F40C0000}"/>
    <cellStyle name="Migliaia 43 4 2 2 2" xfId="5555" xr:uid="{00000000-0005-0000-0000-0000F50C0000}"/>
    <cellStyle name="Migliaia 43 4 2 2 3" xfId="6477" xr:uid="{00000000-0005-0000-0000-0000F60C0000}"/>
    <cellStyle name="Migliaia 43 4 2 3" xfId="5158" xr:uid="{00000000-0005-0000-0000-0000F70C0000}"/>
    <cellStyle name="Migliaia 43 4 2 4" xfId="6038" xr:uid="{00000000-0005-0000-0000-0000F80C0000}"/>
    <cellStyle name="Migliaia 43 4 3" xfId="2494" xr:uid="{00000000-0005-0000-0000-0000F90C0000}"/>
    <cellStyle name="Migliaia 43 4 3 2" xfId="5554" xr:uid="{00000000-0005-0000-0000-0000FA0C0000}"/>
    <cellStyle name="Migliaia 43 4 3 3" xfId="6476" xr:uid="{00000000-0005-0000-0000-0000FB0C0000}"/>
    <cellStyle name="Migliaia 43 4 4" xfId="5157" xr:uid="{00000000-0005-0000-0000-0000FC0C0000}"/>
    <cellStyle name="Migliaia 43 4 5" xfId="6037" xr:uid="{00000000-0005-0000-0000-0000FD0C0000}"/>
    <cellStyle name="Migliaia 43 5" xfId="789" xr:uid="{00000000-0005-0000-0000-0000FE0C0000}"/>
    <cellStyle name="Migliaia 43 5 2" xfId="5159" xr:uid="{00000000-0005-0000-0000-0000FF0C0000}"/>
    <cellStyle name="Migliaia 43 5 3" xfId="6039" xr:uid="{00000000-0005-0000-0000-0000000D0000}"/>
    <cellStyle name="Migliaia 43 6" xfId="4836" xr:uid="{00000000-0005-0000-0000-0000010D0000}"/>
    <cellStyle name="Migliaia 43 7" xfId="6032" xr:uid="{00000000-0005-0000-0000-0000020D0000}"/>
    <cellStyle name="Migliaia 44" xfId="790" xr:uid="{00000000-0005-0000-0000-0000030D0000}"/>
    <cellStyle name="Migliaia 44 2" xfId="791" xr:uid="{00000000-0005-0000-0000-0000040D0000}"/>
    <cellStyle name="Migliaia 44 2 2" xfId="2496" xr:uid="{00000000-0005-0000-0000-0000050D0000}"/>
    <cellStyle name="Migliaia 44 2 2 2" xfId="5556" xr:uid="{00000000-0005-0000-0000-0000060D0000}"/>
    <cellStyle name="Migliaia 44 2 2 3" xfId="6478" xr:uid="{00000000-0005-0000-0000-0000070D0000}"/>
    <cellStyle name="Migliaia 44 2 3" xfId="4901" xr:uid="{00000000-0005-0000-0000-0000080D0000}"/>
    <cellStyle name="Migliaia 44 2 4" xfId="6041" xr:uid="{00000000-0005-0000-0000-0000090D0000}"/>
    <cellStyle name="Migliaia 44 3" xfId="792" xr:uid="{00000000-0005-0000-0000-00000A0D0000}"/>
    <cellStyle name="Migliaia 44 3 2" xfId="793" xr:uid="{00000000-0005-0000-0000-00000B0D0000}"/>
    <cellStyle name="Migliaia 44 3 2 2" xfId="5161" xr:uid="{00000000-0005-0000-0000-00000C0D0000}"/>
    <cellStyle name="Migliaia 44 3 2 3" xfId="6043" xr:uid="{00000000-0005-0000-0000-00000D0D0000}"/>
    <cellStyle name="Migliaia 44 3 3" xfId="794" xr:uid="{00000000-0005-0000-0000-00000E0D0000}"/>
    <cellStyle name="Migliaia 44 3 3 2" xfId="2498" xr:uid="{00000000-0005-0000-0000-00000F0D0000}"/>
    <cellStyle name="Migliaia 44 3 3 2 2" xfId="5558" xr:uid="{00000000-0005-0000-0000-0000100D0000}"/>
    <cellStyle name="Migliaia 44 3 3 2 3" xfId="6480" xr:uid="{00000000-0005-0000-0000-0000110D0000}"/>
    <cellStyle name="Migliaia 44 3 3 3" xfId="5162" xr:uid="{00000000-0005-0000-0000-0000120D0000}"/>
    <cellStyle name="Migliaia 44 3 3 4" xfId="6044" xr:uid="{00000000-0005-0000-0000-0000130D0000}"/>
    <cellStyle name="Migliaia 44 3 4" xfId="2497" xr:uid="{00000000-0005-0000-0000-0000140D0000}"/>
    <cellStyle name="Migliaia 44 3 4 2" xfId="5557" xr:uid="{00000000-0005-0000-0000-0000150D0000}"/>
    <cellStyle name="Migliaia 44 3 4 3" xfId="6479" xr:uid="{00000000-0005-0000-0000-0000160D0000}"/>
    <cellStyle name="Migliaia 44 3 5" xfId="5160" xr:uid="{00000000-0005-0000-0000-0000170D0000}"/>
    <cellStyle name="Migliaia 44 3 6" xfId="6042" xr:uid="{00000000-0005-0000-0000-0000180D0000}"/>
    <cellStyle name="Migliaia 44 4" xfId="795" xr:uid="{00000000-0005-0000-0000-0000190D0000}"/>
    <cellStyle name="Migliaia 44 4 2" xfId="796" xr:uid="{00000000-0005-0000-0000-00001A0D0000}"/>
    <cellStyle name="Migliaia 44 4 2 2" xfId="2500" xr:uid="{00000000-0005-0000-0000-00001B0D0000}"/>
    <cellStyle name="Migliaia 44 4 2 2 2" xfId="5560" xr:uid="{00000000-0005-0000-0000-00001C0D0000}"/>
    <cellStyle name="Migliaia 44 4 2 2 3" xfId="6482" xr:uid="{00000000-0005-0000-0000-00001D0D0000}"/>
    <cellStyle name="Migliaia 44 4 2 3" xfId="5164" xr:uid="{00000000-0005-0000-0000-00001E0D0000}"/>
    <cellStyle name="Migliaia 44 4 2 4" xfId="6046" xr:uid="{00000000-0005-0000-0000-00001F0D0000}"/>
    <cellStyle name="Migliaia 44 4 3" xfId="2499" xr:uid="{00000000-0005-0000-0000-0000200D0000}"/>
    <cellStyle name="Migliaia 44 4 3 2" xfId="5559" xr:uid="{00000000-0005-0000-0000-0000210D0000}"/>
    <cellStyle name="Migliaia 44 4 3 3" xfId="6481" xr:uid="{00000000-0005-0000-0000-0000220D0000}"/>
    <cellStyle name="Migliaia 44 4 4" xfId="5163" xr:uid="{00000000-0005-0000-0000-0000230D0000}"/>
    <cellStyle name="Migliaia 44 4 5" xfId="6045" xr:uid="{00000000-0005-0000-0000-0000240D0000}"/>
    <cellStyle name="Migliaia 44 5" xfId="797" xr:uid="{00000000-0005-0000-0000-0000250D0000}"/>
    <cellStyle name="Migliaia 44 5 2" xfId="5165" xr:uid="{00000000-0005-0000-0000-0000260D0000}"/>
    <cellStyle name="Migliaia 44 5 3" xfId="6047" xr:uid="{00000000-0005-0000-0000-0000270D0000}"/>
    <cellStyle name="Migliaia 44 6" xfId="4837" xr:uid="{00000000-0005-0000-0000-0000280D0000}"/>
    <cellStyle name="Migliaia 44 7" xfId="6040" xr:uid="{00000000-0005-0000-0000-0000290D0000}"/>
    <cellStyle name="Migliaia 45" xfId="798" xr:uid="{00000000-0005-0000-0000-00002A0D0000}"/>
    <cellStyle name="Migliaia 45 2" xfId="799" xr:uid="{00000000-0005-0000-0000-00002B0D0000}"/>
    <cellStyle name="Migliaia 45 2 2" xfId="2501" xr:uid="{00000000-0005-0000-0000-00002C0D0000}"/>
    <cellStyle name="Migliaia 45 2 2 2" xfId="5561" xr:uid="{00000000-0005-0000-0000-00002D0D0000}"/>
    <cellStyle name="Migliaia 45 2 2 3" xfId="6483" xr:uid="{00000000-0005-0000-0000-00002E0D0000}"/>
    <cellStyle name="Migliaia 45 2 3" xfId="4902" xr:uid="{00000000-0005-0000-0000-00002F0D0000}"/>
    <cellStyle name="Migliaia 45 2 4" xfId="6049" xr:uid="{00000000-0005-0000-0000-0000300D0000}"/>
    <cellStyle name="Migliaia 45 3" xfId="800" xr:uid="{00000000-0005-0000-0000-0000310D0000}"/>
    <cellStyle name="Migliaia 45 3 2" xfId="801" xr:uid="{00000000-0005-0000-0000-0000320D0000}"/>
    <cellStyle name="Migliaia 45 3 2 2" xfId="5167" xr:uid="{00000000-0005-0000-0000-0000330D0000}"/>
    <cellStyle name="Migliaia 45 3 2 3" xfId="6051" xr:uid="{00000000-0005-0000-0000-0000340D0000}"/>
    <cellStyle name="Migliaia 45 3 3" xfId="802" xr:uid="{00000000-0005-0000-0000-0000350D0000}"/>
    <cellStyle name="Migliaia 45 3 3 2" xfId="2503" xr:uid="{00000000-0005-0000-0000-0000360D0000}"/>
    <cellStyle name="Migliaia 45 3 3 2 2" xfId="5563" xr:uid="{00000000-0005-0000-0000-0000370D0000}"/>
    <cellStyle name="Migliaia 45 3 3 2 3" xfId="6485" xr:uid="{00000000-0005-0000-0000-0000380D0000}"/>
    <cellStyle name="Migliaia 45 3 3 3" xfId="5168" xr:uid="{00000000-0005-0000-0000-0000390D0000}"/>
    <cellStyle name="Migliaia 45 3 3 4" xfId="6052" xr:uid="{00000000-0005-0000-0000-00003A0D0000}"/>
    <cellStyle name="Migliaia 45 3 4" xfId="2502" xr:uid="{00000000-0005-0000-0000-00003B0D0000}"/>
    <cellStyle name="Migliaia 45 3 4 2" xfId="5562" xr:uid="{00000000-0005-0000-0000-00003C0D0000}"/>
    <cellStyle name="Migliaia 45 3 4 3" xfId="6484" xr:uid="{00000000-0005-0000-0000-00003D0D0000}"/>
    <cellStyle name="Migliaia 45 3 5" xfId="5166" xr:uid="{00000000-0005-0000-0000-00003E0D0000}"/>
    <cellStyle name="Migliaia 45 3 6" xfId="6050" xr:uid="{00000000-0005-0000-0000-00003F0D0000}"/>
    <cellStyle name="Migliaia 45 4" xfId="803" xr:uid="{00000000-0005-0000-0000-0000400D0000}"/>
    <cellStyle name="Migliaia 45 4 2" xfId="804" xr:uid="{00000000-0005-0000-0000-0000410D0000}"/>
    <cellStyle name="Migliaia 45 4 2 2" xfId="2505" xr:uid="{00000000-0005-0000-0000-0000420D0000}"/>
    <cellStyle name="Migliaia 45 4 2 2 2" xfId="5565" xr:uid="{00000000-0005-0000-0000-0000430D0000}"/>
    <cellStyle name="Migliaia 45 4 2 2 3" xfId="6487" xr:uid="{00000000-0005-0000-0000-0000440D0000}"/>
    <cellStyle name="Migliaia 45 4 2 3" xfId="5170" xr:uid="{00000000-0005-0000-0000-0000450D0000}"/>
    <cellStyle name="Migliaia 45 4 2 4" xfId="6054" xr:uid="{00000000-0005-0000-0000-0000460D0000}"/>
    <cellStyle name="Migliaia 45 4 3" xfId="2504" xr:uid="{00000000-0005-0000-0000-0000470D0000}"/>
    <cellStyle name="Migliaia 45 4 3 2" xfId="5564" xr:uid="{00000000-0005-0000-0000-0000480D0000}"/>
    <cellStyle name="Migliaia 45 4 3 3" xfId="6486" xr:uid="{00000000-0005-0000-0000-0000490D0000}"/>
    <cellStyle name="Migliaia 45 4 4" xfId="5169" xr:uid="{00000000-0005-0000-0000-00004A0D0000}"/>
    <cellStyle name="Migliaia 45 4 5" xfId="6053" xr:uid="{00000000-0005-0000-0000-00004B0D0000}"/>
    <cellStyle name="Migliaia 45 5" xfId="805" xr:uid="{00000000-0005-0000-0000-00004C0D0000}"/>
    <cellStyle name="Migliaia 45 5 2" xfId="5171" xr:uid="{00000000-0005-0000-0000-00004D0D0000}"/>
    <cellStyle name="Migliaia 45 5 3" xfId="6055" xr:uid="{00000000-0005-0000-0000-00004E0D0000}"/>
    <cellStyle name="Migliaia 45 6" xfId="4838" xr:uid="{00000000-0005-0000-0000-00004F0D0000}"/>
    <cellStyle name="Migliaia 45 7" xfId="6048" xr:uid="{00000000-0005-0000-0000-0000500D0000}"/>
    <cellStyle name="Migliaia 46" xfId="806" xr:uid="{00000000-0005-0000-0000-0000510D0000}"/>
    <cellStyle name="Migliaia 46 2" xfId="807" xr:uid="{00000000-0005-0000-0000-0000520D0000}"/>
    <cellStyle name="Migliaia 46 2 2" xfId="2506" xr:uid="{00000000-0005-0000-0000-0000530D0000}"/>
    <cellStyle name="Migliaia 46 2 2 2" xfId="5566" xr:uid="{00000000-0005-0000-0000-0000540D0000}"/>
    <cellStyle name="Migliaia 46 2 2 3" xfId="6488" xr:uid="{00000000-0005-0000-0000-0000550D0000}"/>
    <cellStyle name="Migliaia 46 2 3" xfId="4903" xr:uid="{00000000-0005-0000-0000-0000560D0000}"/>
    <cellStyle name="Migliaia 46 2 4" xfId="6057" xr:uid="{00000000-0005-0000-0000-0000570D0000}"/>
    <cellStyle name="Migliaia 46 3" xfId="808" xr:uid="{00000000-0005-0000-0000-0000580D0000}"/>
    <cellStyle name="Migliaia 46 3 2" xfId="809" xr:uid="{00000000-0005-0000-0000-0000590D0000}"/>
    <cellStyle name="Migliaia 46 3 2 2" xfId="5173" xr:uid="{00000000-0005-0000-0000-00005A0D0000}"/>
    <cellStyle name="Migliaia 46 3 2 3" xfId="6059" xr:uid="{00000000-0005-0000-0000-00005B0D0000}"/>
    <cellStyle name="Migliaia 46 3 3" xfId="810" xr:uid="{00000000-0005-0000-0000-00005C0D0000}"/>
    <cellStyle name="Migliaia 46 3 3 2" xfId="2508" xr:uid="{00000000-0005-0000-0000-00005D0D0000}"/>
    <cellStyle name="Migliaia 46 3 3 2 2" xfId="5568" xr:uid="{00000000-0005-0000-0000-00005E0D0000}"/>
    <cellStyle name="Migliaia 46 3 3 2 3" xfId="6490" xr:uid="{00000000-0005-0000-0000-00005F0D0000}"/>
    <cellStyle name="Migliaia 46 3 3 3" xfId="5174" xr:uid="{00000000-0005-0000-0000-0000600D0000}"/>
    <cellStyle name="Migliaia 46 3 3 4" xfId="6060" xr:uid="{00000000-0005-0000-0000-0000610D0000}"/>
    <cellStyle name="Migliaia 46 3 4" xfId="2507" xr:uid="{00000000-0005-0000-0000-0000620D0000}"/>
    <cellStyle name="Migliaia 46 3 4 2" xfId="5567" xr:uid="{00000000-0005-0000-0000-0000630D0000}"/>
    <cellStyle name="Migliaia 46 3 4 3" xfId="6489" xr:uid="{00000000-0005-0000-0000-0000640D0000}"/>
    <cellStyle name="Migliaia 46 3 5" xfId="5172" xr:uid="{00000000-0005-0000-0000-0000650D0000}"/>
    <cellStyle name="Migliaia 46 3 6" xfId="6058" xr:uid="{00000000-0005-0000-0000-0000660D0000}"/>
    <cellStyle name="Migliaia 46 4" xfId="811" xr:uid="{00000000-0005-0000-0000-0000670D0000}"/>
    <cellStyle name="Migliaia 46 4 2" xfId="812" xr:uid="{00000000-0005-0000-0000-0000680D0000}"/>
    <cellStyle name="Migliaia 46 4 2 2" xfId="2510" xr:uid="{00000000-0005-0000-0000-0000690D0000}"/>
    <cellStyle name="Migliaia 46 4 2 2 2" xfId="5570" xr:uid="{00000000-0005-0000-0000-00006A0D0000}"/>
    <cellStyle name="Migliaia 46 4 2 2 3" xfId="6492" xr:uid="{00000000-0005-0000-0000-00006B0D0000}"/>
    <cellStyle name="Migliaia 46 4 2 3" xfId="5176" xr:uid="{00000000-0005-0000-0000-00006C0D0000}"/>
    <cellStyle name="Migliaia 46 4 2 4" xfId="6062" xr:uid="{00000000-0005-0000-0000-00006D0D0000}"/>
    <cellStyle name="Migliaia 46 4 3" xfId="2509" xr:uid="{00000000-0005-0000-0000-00006E0D0000}"/>
    <cellStyle name="Migliaia 46 4 3 2" xfId="5569" xr:uid="{00000000-0005-0000-0000-00006F0D0000}"/>
    <cellStyle name="Migliaia 46 4 3 3" xfId="6491" xr:uid="{00000000-0005-0000-0000-0000700D0000}"/>
    <cellStyle name="Migliaia 46 4 4" xfId="5175" xr:uid="{00000000-0005-0000-0000-0000710D0000}"/>
    <cellStyle name="Migliaia 46 4 5" xfId="6061" xr:uid="{00000000-0005-0000-0000-0000720D0000}"/>
    <cellStyle name="Migliaia 46 5" xfId="813" xr:uid="{00000000-0005-0000-0000-0000730D0000}"/>
    <cellStyle name="Migliaia 46 5 2" xfId="5177" xr:uid="{00000000-0005-0000-0000-0000740D0000}"/>
    <cellStyle name="Migliaia 46 5 3" xfId="6063" xr:uid="{00000000-0005-0000-0000-0000750D0000}"/>
    <cellStyle name="Migliaia 46 6" xfId="4839" xr:uid="{00000000-0005-0000-0000-0000760D0000}"/>
    <cellStyle name="Migliaia 46 7" xfId="6056" xr:uid="{00000000-0005-0000-0000-0000770D0000}"/>
    <cellStyle name="Migliaia 47" xfId="814" xr:uid="{00000000-0005-0000-0000-0000780D0000}"/>
    <cellStyle name="Migliaia 47 2" xfId="815" xr:uid="{00000000-0005-0000-0000-0000790D0000}"/>
    <cellStyle name="Migliaia 47 2 2" xfId="2511" xr:uid="{00000000-0005-0000-0000-00007A0D0000}"/>
    <cellStyle name="Migliaia 47 2 2 2" xfId="5571" xr:uid="{00000000-0005-0000-0000-00007B0D0000}"/>
    <cellStyle name="Migliaia 47 2 2 3" xfId="6493" xr:uid="{00000000-0005-0000-0000-00007C0D0000}"/>
    <cellStyle name="Migliaia 47 2 3" xfId="4904" xr:uid="{00000000-0005-0000-0000-00007D0D0000}"/>
    <cellStyle name="Migliaia 47 2 4" xfId="6065" xr:uid="{00000000-0005-0000-0000-00007E0D0000}"/>
    <cellStyle name="Migliaia 47 3" xfId="816" xr:uid="{00000000-0005-0000-0000-00007F0D0000}"/>
    <cellStyle name="Migliaia 47 3 2" xfId="817" xr:uid="{00000000-0005-0000-0000-0000800D0000}"/>
    <cellStyle name="Migliaia 47 3 2 2" xfId="5179" xr:uid="{00000000-0005-0000-0000-0000810D0000}"/>
    <cellStyle name="Migliaia 47 3 2 3" xfId="6067" xr:uid="{00000000-0005-0000-0000-0000820D0000}"/>
    <cellStyle name="Migliaia 47 3 3" xfId="818" xr:uid="{00000000-0005-0000-0000-0000830D0000}"/>
    <cellStyle name="Migliaia 47 3 3 2" xfId="2513" xr:uid="{00000000-0005-0000-0000-0000840D0000}"/>
    <cellStyle name="Migliaia 47 3 3 2 2" xfId="5573" xr:uid="{00000000-0005-0000-0000-0000850D0000}"/>
    <cellStyle name="Migliaia 47 3 3 2 3" xfId="6495" xr:uid="{00000000-0005-0000-0000-0000860D0000}"/>
    <cellStyle name="Migliaia 47 3 3 3" xfId="5180" xr:uid="{00000000-0005-0000-0000-0000870D0000}"/>
    <cellStyle name="Migliaia 47 3 3 4" xfId="6068" xr:uid="{00000000-0005-0000-0000-0000880D0000}"/>
    <cellStyle name="Migliaia 47 3 4" xfId="2512" xr:uid="{00000000-0005-0000-0000-0000890D0000}"/>
    <cellStyle name="Migliaia 47 3 4 2" xfId="5572" xr:uid="{00000000-0005-0000-0000-00008A0D0000}"/>
    <cellStyle name="Migliaia 47 3 4 3" xfId="6494" xr:uid="{00000000-0005-0000-0000-00008B0D0000}"/>
    <cellStyle name="Migliaia 47 3 5" xfId="5178" xr:uid="{00000000-0005-0000-0000-00008C0D0000}"/>
    <cellStyle name="Migliaia 47 3 6" xfId="6066" xr:uid="{00000000-0005-0000-0000-00008D0D0000}"/>
    <cellStyle name="Migliaia 47 4" xfId="819" xr:uid="{00000000-0005-0000-0000-00008E0D0000}"/>
    <cellStyle name="Migliaia 47 4 2" xfId="820" xr:uid="{00000000-0005-0000-0000-00008F0D0000}"/>
    <cellStyle name="Migliaia 47 4 2 2" xfId="2515" xr:uid="{00000000-0005-0000-0000-0000900D0000}"/>
    <cellStyle name="Migliaia 47 4 2 2 2" xfId="5575" xr:uid="{00000000-0005-0000-0000-0000910D0000}"/>
    <cellStyle name="Migliaia 47 4 2 2 3" xfId="6497" xr:uid="{00000000-0005-0000-0000-0000920D0000}"/>
    <cellStyle name="Migliaia 47 4 2 3" xfId="5182" xr:uid="{00000000-0005-0000-0000-0000930D0000}"/>
    <cellStyle name="Migliaia 47 4 2 4" xfId="6070" xr:uid="{00000000-0005-0000-0000-0000940D0000}"/>
    <cellStyle name="Migliaia 47 4 3" xfId="2514" xr:uid="{00000000-0005-0000-0000-0000950D0000}"/>
    <cellStyle name="Migliaia 47 4 3 2" xfId="5574" xr:uid="{00000000-0005-0000-0000-0000960D0000}"/>
    <cellStyle name="Migliaia 47 4 3 3" xfId="6496" xr:uid="{00000000-0005-0000-0000-0000970D0000}"/>
    <cellStyle name="Migliaia 47 4 4" xfId="5181" xr:uid="{00000000-0005-0000-0000-0000980D0000}"/>
    <cellStyle name="Migliaia 47 4 5" xfId="6069" xr:uid="{00000000-0005-0000-0000-0000990D0000}"/>
    <cellStyle name="Migliaia 47 5" xfId="821" xr:uid="{00000000-0005-0000-0000-00009A0D0000}"/>
    <cellStyle name="Migliaia 47 5 2" xfId="5183" xr:uid="{00000000-0005-0000-0000-00009B0D0000}"/>
    <cellStyle name="Migliaia 47 5 3" xfId="6071" xr:uid="{00000000-0005-0000-0000-00009C0D0000}"/>
    <cellStyle name="Migliaia 47 6" xfId="4840" xr:uid="{00000000-0005-0000-0000-00009D0D0000}"/>
    <cellStyle name="Migliaia 47 7" xfId="6064" xr:uid="{00000000-0005-0000-0000-00009E0D0000}"/>
    <cellStyle name="Migliaia 48" xfId="822" xr:uid="{00000000-0005-0000-0000-00009F0D0000}"/>
    <cellStyle name="Migliaia 48 2" xfId="823" xr:uid="{00000000-0005-0000-0000-0000A00D0000}"/>
    <cellStyle name="Migliaia 48 2 2" xfId="2516" xr:uid="{00000000-0005-0000-0000-0000A10D0000}"/>
    <cellStyle name="Migliaia 48 2 2 2" xfId="5576" xr:uid="{00000000-0005-0000-0000-0000A20D0000}"/>
    <cellStyle name="Migliaia 48 2 2 3" xfId="6498" xr:uid="{00000000-0005-0000-0000-0000A30D0000}"/>
    <cellStyle name="Migliaia 48 2 3" xfId="4905" xr:uid="{00000000-0005-0000-0000-0000A40D0000}"/>
    <cellStyle name="Migliaia 48 2 4" xfId="6073" xr:uid="{00000000-0005-0000-0000-0000A50D0000}"/>
    <cellStyle name="Migliaia 48 3" xfId="824" xr:uid="{00000000-0005-0000-0000-0000A60D0000}"/>
    <cellStyle name="Migliaia 48 3 2" xfId="825" xr:uid="{00000000-0005-0000-0000-0000A70D0000}"/>
    <cellStyle name="Migliaia 48 3 2 2" xfId="5185" xr:uid="{00000000-0005-0000-0000-0000A80D0000}"/>
    <cellStyle name="Migliaia 48 3 2 3" xfId="6075" xr:uid="{00000000-0005-0000-0000-0000A90D0000}"/>
    <cellStyle name="Migliaia 48 3 3" xfId="826" xr:uid="{00000000-0005-0000-0000-0000AA0D0000}"/>
    <cellStyle name="Migliaia 48 3 3 2" xfId="2518" xr:uid="{00000000-0005-0000-0000-0000AB0D0000}"/>
    <cellStyle name="Migliaia 48 3 3 2 2" xfId="5578" xr:uid="{00000000-0005-0000-0000-0000AC0D0000}"/>
    <cellStyle name="Migliaia 48 3 3 2 3" xfId="6500" xr:uid="{00000000-0005-0000-0000-0000AD0D0000}"/>
    <cellStyle name="Migliaia 48 3 3 3" xfId="5186" xr:uid="{00000000-0005-0000-0000-0000AE0D0000}"/>
    <cellStyle name="Migliaia 48 3 3 4" xfId="6076" xr:uid="{00000000-0005-0000-0000-0000AF0D0000}"/>
    <cellStyle name="Migliaia 48 3 4" xfId="2517" xr:uid="{00000000-0005-0000-0000-0000B00D0000}"/>
    <cellStyle name="Migliaia 48 3 4 2" xfId="5577" xr:uid="{00000000-0005-0000-0000-0000B10D0000}"/>
    <cellStyle name="Migliaia 48 3 4 3" xfId="6499" xr:uid="{00000000-0005-0000-0000-0000B20D0000}"/>
    <cellStyle name="Migliaia 48 3 5" xfId="5184" xr:uid="{00000000-0005-0000-0000-0000B30D0000}"/>
    <cellStyle name="Migliaia 48 3 6" xfId="6074" xr:uid="{00000000-0005-0000-0000-0000B40D0000}"/>
    <cellStyle name="Migliaia 48 4" xfId="827" xr:uid="{00000000-0005-0000-0000-0000B50D0000}"/>
    <cellStyle name="Migliaia 48 4 2" xfId="828" xr:uid="{00000000-0005-0000-0000-0000B60D0000}"/>
    <cellStyle name="Migliaia 48 4 2 2" xfId="2520" xr:uid="{00000000-0005-0000-0000-0000B70D0000}"/>
    <cellStyle name="Migliaia 48 4 2 2 2" xfId="5580" xr:uid="{00000000-0005-0000-0000-0000B80D0000}"/>
    <cellStyle name="Migliaia 48 4 2 2 3" xfId="6502" xr:uid="{00000000-0005-0000-0000-0000B90D0000}"/>
    <cellStyle name="Migliaia 48 4 2 3" xfId="5188" xr:uid="{00000000-0005-0000-0000-0000BA0D0000}"/>
    <cellStyle name="Migliaia 48 4 2 4" xfId="6078" xr:uid="{00000000-0005-0000-0000-0000BB0D0000}"/>
    <cellStyle name="Migliaia 48 4 3" xfId="2519" xr:uid="{00000000-0005-0000-0000-0000BC0D0000}"/>
    <cellStyle name="Migliaia 48 4 3 2" xfId="5579" xr:uid="{00000000-0005-0000-0000-0000BD0D0000}"/>
    <cellStyle name="Migliaia 48 4 3 3" xfId="6501" xr:uid="{00000000-0005-0000-0000-0000BE0D0000}"/>
    <cellStyle name="Migliaia 48 4 4" xfId="5187" xr:uid="{00000000-0005-0000-0000-0000BF0D0000}"/>
    <cellStyle name="Migliaia 48 4 5" xfId="6077" xr:uid="{00000000-0005-0000-0000-0000C00D0000}"/>
    <cellStyle name="Migliaia 48 5" xfId="829" xr:uid="{00000000-0005-0000-0000-0000C10D0000}"/>
    <cellStyle name="Migliaia 48 5 2" xfId="5189" xr:uid="{00000000-0005-0000-0000-0000C20D0000}"/>
    <cellStyle name="Migliaia 48 5 3" xfId="6079" xr:uid="{00000000-0005-0000-0000-0000C30D0000}"/>
    <cellStyle name="Migliaia 48 6" xfId="4841" xr:uid="{00000000-0005-0000-0000-0000C40D0000}"/>
    <cellStyle name="Migliaia 48 7" xfId="6072" xr:uid="{00000000-0005-0000-0000-0000C50D0000}"/>
    <cellStyle name="Migliaia 49" xfId="830" xr:uid="{00000000-0005-0000-0000-0000C60D0000}"/>
    <cellStyle name="Migliaia 49 2" xfId="831" xr:uid="{00000000-0005-0000-0000-0000C70D0000}"/>
    <cellStyle name="Migliaia 49 2 2" xfId="2521" xr:uid="{00000000-0005-0000-0000-0000C80D0000}"/>
    <cellStyle name="Migliaia 49 2 2 2" xfId="5581" xr:uid="{00000000-0005-0000-0000-0000C90D0000}"/>
    <cellStyle name="Migliaia 49 2 2 3" xfId="6503" xr:uid="{00000000-0005-0000-0000-0000CA0D0000}"/>
    <cellStyle name="Migliaia 49 2 3" xfId="4906" xr:uid="{00000000-0005-0000-0000-0000CB0D0000}"/>
    <cellStyle name="Migliaia 49 2 4" xfId="6081" xr:uid="{00000000-0005-0000-0000-0000CC0D0000}"/>
    <cellStyle name="Migliaia 49 3" xfId="832" xr:uid="{00000000-0005-0000-0000-0000CD0D0000}"/>
    <cellStyle name="Migliaia 49 3 2" xfId="833" xr:uid="{00000000-0005-0000-0000-0000CE0D0000}"/>
    <cellStyle name="Migliaia 49 3 2 2" xfId="5191" xr:uid="{00000000-0005-0000-0000-0000CF0D0000}"/>
    <cellStyle name="Migliaia 49 3 2 3" xfId="6083" xr:uid="{00000000-0005-0000-0000-0000D00D0000}"/>
    <cellStyle name="Migliaia 49 3 3" xfId="834" xr:uid="{00000000-0005-0000-0000-0000D10D0000}"/>
    <cellStyle name="Migliaia 49 3 3 2" xfId="2523" xr:uid="{00000000-0005-0000-0000-0000D20D0000}"/>
    <cellStyle name="Migliaia 49 3 3 2 2" xfId="5583" xr:uid="{00000000-0005-0000-0000-0000D30D0000}"/>
    <cellStyle name="Migliaia 49 3 3 2 3" xfId="6505" xr:uid="{00000000-0005-0000-0000-0000D40D0000}"/>
    <cellStyle name="Migliaia 49 3 3 3" xfId="5192" xr:uid="{00000000-0005-0000-0000-0000D50D0000}"/>
    <cellStyle name="Migliaia 49 3 3 4" xfId="6084" xr:uid="{00000000-0005-0000-0000-0000D60D0000}"/>
    <cellStyle name="Migliaia 49 3 4" xfId="2522" xr:uid="{00000000-0005-0000-0000-0000D70D0000}"/>
    <cellStyle name="Migliaia 49 3 4 2" xfId="5582" xr:uid="{00000000-0005-0000-0000-0000D80D0000}"/>
    <cellStyle name="Migliaia 49 3 4 3" xfId="6504" xr:uid="{00000000-0005-0000-0000-0000D90D0000}"/>
    <cellStyle name="Migliaia 49 3 5" xfId="5190" xr:uid="{00000000-0005-0000-0000-0000DA0D0000}"/>
    <cellStyle name="Migliaia 49 3 6" xfId="6082" xr:uid="{00000000-0005-0000-0000-0000DB0D0000}"/>
    <cellStyle name="Migliaia 49 4" xfId="835" xr:uid="{00000000-0005-0000-0000-0000DC0D0000}"/>
    <cellStyle name="Migliaia 49 4 2" xfId="836" xr:uid="{00000000-0005-0000-0000-0000DD0D0000}"/>
    <cellStyle name="Migliaia 49 4 2 2" xfId="2525" xr:uid="{00000000-0005-0000-0000-0000DE0D0000}"/>
    <cellStyle name="Migliaia 49 4 2 2 2" xfId="5585" xr:uid="{00000000-0005-0000-0000-0000DF0D0000}"/>
    <cellStyle name="Migliaia 49 4 2 2 3" xfId="6507" xr:uid="{00000000-0005-0000-0000-0000E00D0000}"/>
    <cellStyle name="Migliaia 49 4 2 3" xfId="5194" xr:uid="{00000000-0005-0000-0000-0000E10D0000}"/>
    <cellStyle name="Migliaia 49 4 2 4" xfId="6086" xr:uid="{00000000-0005-0000-0000-0000E20D0000}"/>
    <cellStyle name="Migliaia 49 4 3" xfId="2524" xr:uid="{00000000-0005-0000-0000-0000E30D0000}"/>
    <cellStyle name="Migliaia 49 4 3 2" xfId="5584" xr:uid="{00000000-0005-0000-0000-0000E40D0000}"/>
    <cellStyle name="Migliaia 49 4 3 3" xfId="6506" xr:uid="{00000000-0005-0000-0000-0000E50D0000}"/>
    <cellStyle name="Migliaia 49 4 4" xfId="5193" xr:uid="{00000000-0005-0000-0000-0000E60D0000}"/>
    <cellStyle name="Migliaia 49 4 5" xfId="6085" xr:uid="{00000000-0005-0000-0000-0000E70D0000}"/>
    <cellStyle name="Migliaia 49 5" xfId="837" xr:uid="{00000000-0005-0000-0000-0000E80D0000}"/>
    <cellStyle name="Migliaia 49 5 2" xfId="5195" xr:uid="{00000000-0005-0000-0000-0000E90D0000}"/>
    <cellStyle name="Migliaia 49 5 3" xfId="6087" xr:uid="{00000000-0005-0000-0000-0000EA0D0000}"/>
    <cellStyle name="Migliaia 49 6" xfId="4842" xr:uid="{00000000-0005-0000-0000-0000EB0D0000}"/>
    <cellStyle name="Migliaia 49 7" xfId="6080" xr:uid="{00000000-0005-0000-0000-0000EC0D0000}"/>
    <cellStyle name="Migliaia 5" xfId="838" xr:uid="{00000000-0005-0000-0000-0000ED0D0000}"/>
    <cellStyle name="Migliaia 5 2" xfId="839" xr:uid="{00000000-0005-0000-0000-0000EE0D0000}"/>
    <cellStyle name="Migliaia 5 2 2" xfId="2526" xr:uid="{00000000-0005-0000-0000-0000EF0D0000}"/>
    <cellStyle name="Migliaia 5 2 2 2" xfId="5586" xr:uid="{00000000-0005-0000-0000-0000F00D0000}"/>
    <cellStyle name="Migliaia 5 2 2 3" xfId="6508" xr:uid="{00000000-0005-0000-0000-0000F10D0000}"/>
    <cellStyle name="Migliaia 5 2 3" xfId="4907" xr:uid="{00000000-0005-0000-0000-0000F20D0000}"/>
    <cellStyle name="Migliaia 5 2 4" xfId="6089" xr:uid="{00000000-0005-0000-0000-0000F30D0000}"/>
    <cellStyle name="Migliaia 5 3" xfId="840" xr:uid="{00000000-0005-0000-0000-0000F40D0000}"/>
    <cellStyle name="Migliaia 5 3 2" xfId="841" xr:uid="{00000000-0005-0000-0000-0000F50D0000}"/>
    <cellStyle name="Migliaia 5 3 2 2" xfId="5197" xr:uid="{00000000-0005-0000-0000-0000F60D0000}"/>
    <cellStyle name="Migliaia 5 3 2 3" xfId="6091" xr:uid="{00000000-0005-0000-0000-0000F70D0000}"/>
    <cellStyle name="Migliaia 5 3 3" xfId="842" xr:uid="{00000000-0005-0000-0000-0000F80D0000}"/>
    <cellStyle name="Migliaia 5 3 3 2" xfId="2528" xr:uid="{00000000-0005-0000-0000-0000F90D0000}"/>
    <cellStyle name="Migliaia 5 3 3 2 2" xfId="5588" xr:uid="{00000000-0005-0000-0000-0000FA0D0000}"/>
    <cellStyle name="Migliaia 5 3 3 2 3" xfId="6510" xr:uid="{00000000-0005-0000-0000-0000FB0D0000}"/>
    <cellStyle name="Migliaia 5 3 3 3" xfId="5198" xr:uid="{00000000-0005-0000-0000-0000FC0D0000}"/>
    <cellStyle name="Migliaia 5 3 3 4" xfId="6092" xr:uid="{00000000-0005-0000-0000-0000FD0D0000}"/>
    <cellStyle name="Migliaia 5 3 4" xfId="2527" xr:uid="{00000000-0005-0000-0000-0000FE0D0000}"/>
    <cellStyle name="Migliaia 5 3 4 2" xfId="5587" xr:uid="{00000000-0005-0000-0000-0000FF0D0000}"/>
    <cellStyle name="Migliaia 5 3 4 3" xfId="6509" xr:uid="{00000000-0005-0000-0000-0000000E0000}"/>
    <cellStyle name="Migliaia 5 3 5" xfId="5196" xr:uid="{00000000-0005-0000-0000-0000010E0000}"/>
    <cellStyle name="Migliaia 5 3 6" xfId="6090" xr:uid="{00000000-0005-0000-0000-0000020E0000}"/>
    <cellStyle name="Migliaia 5 4" xfId="843" xr:uid="{00000000-0005-0000-0000-0000030E0000}"/>
    <cellStyle name="Migliaia 5 4 2" xfId="844" xr:uid="{00000000-0005-0000-0000-0000040E0000}"/>
    <cellStyle name="Migliaia 5 4 2 2" xfId="2530" xr:uid="{00000000-0005-0000-0000-0000050E0000}"/>
    <cellStyle name="Migliaia 5 4 2 2 2" xfId="5590" xr:uid="{00000000-0005-0000-0000-0000060E0000}"/>
    <cellStyle name="Migliaia 5 4 2 2 3" xfId="6512" xr:uid="{00000000-0005-0000-0000-0000070E0000}"/>
    <cellStyle name="Migliaia 5 4 2 3" xfId="5200" xr:uid="{00000000-0005-0000-0000-0000080E0000}"/>
    <cellStyle name="Migliaia 5 4 2 4" xfId="6094" xr:uid="{00000000-0005-0000-0000-0000090E0000}"/>
    <cellStyle name="Migliaia 5 4 3" xfId="2529" xr:uid="{00000000-0005-0000-0000-00000A0E0000}"/>
    <cellStyle name="Migliaia 5 4 3 2" xfId="5589" xr:uid="{00000000-0005-0000-0000-00000B0E0000}"/>
    <cellStyle name="Migliaia 5 4 3 3" xfId="6511" xr:uid="{00000000-0005-0000-0000-00000C0E0000}"/>
    <cellStyle name="Migliaia 5 4 4" xfId="5199" xr:uid="{00000000-0005-0000-0000-00000D0E0000}"/>
    <cellStyle name="Migliaia 5 4 5" xfId="6093" xr:uid="{00000000-0005-0000-0000-00000E0E0000}"/>
    <cellStyle name="Migliaia 5 5" xfId="845" xr:uid="{00000000-0005-0000-0000-00000F0E0000}"/>
    <cellStyle name="Migliaia 5 5 2" xfId="5201" xr:uid="{00000000-0005-0000-0000-0000100E0000}"/>
    <cellStyle name="Migliaia 5 5 3" xfId="6095" xr:uid="{00000000-0005-0000-0000-0000110E0000}"/>
    <cellStyle name="Migliaia 5 6" xfId="4843" xr:uid="{00000000-0005-0000-0000-0000120E0000}"/>
    <cellStyle name="Migliaia 5 7" xfId="6088" xr:uid="{00000000-0005-0000-0000-0000130E0000}"/>
    <cellStyle name="Migliaia 50" xfId="846" xr:uid="{00000000-0005-0000-0000-0000140E0000}"/>
    <cellStyle name="Migliaia 50 2" xfId="847" xr:uid="{00000000-0005-0000-0000-0000150E0000}"/>
    <cellStyle name="Migliaia 50 2 2" xfId="2531" xr:uid="{00000000-0005-0000-0000-0000160E0000}"/>
    <cellStyle name="Migliaia 50 2 2 2" xfId="5591" xr:uid="{00000000-0005-0000-0000-0000170E0000}"/>
    <cellStyle name="Migliaia 50 2 2 3" xfId="6513" xr:uid="{00000000-0005-0000-0000-0000180E0000}"/>
    <cellStyle name="Migliaia 50 2 3" xfId="4908" xr:uid="{00000000-0005-0000-0000-0000190E0000}"/>
    <cellStyle name="Migliaia 50 2 4" xfId="6097" xr:uid="{00000000-0005-0000-0000-00001A0E0000}"/>
    <cellStyle name="Migliaia 50 3" xfId="848" xr:uid="{00000000-0005-0000-0000-00001B0E0000}"/>
    <cellStyle name="Migliaia 50 3 2" xfId="849" xr:uid="{00000000-0005-0000-0000-00001C0E0000}"/>
    <cellStyle name="Migliaia 50 3 2 2" xfId="5203" xr:uid="{00000000-0005-0000-0000-00001D0E0000}"/>
    <cellStyle name="Migliaia 50 3 2 3" xfId="6099" xr:uid="{00000000-0005-0000-0000-00001E0E0000}"/>
    <cellStyle name="Migliaia 50 3 3" xfId="850" xr:uid="{00000000-0005-0000-0000-00001F0E0000}"/>
    <cellStyle name="Migliaia 50 3 3 2" xfId="2533" xr:uid="{00000000-0005-0000-0000-0000200E0000}"/>
    <cellStyle name="Migliaia 50 3 3 2 2" xfId="5593" xr:uid="{00000000-0005-0000-0000-0000210E0000}"/>
    <cellStyle name="Migliaia 50 3 3 2 3" xfId="6515" xr:uid="{00000000-0005-0000-0000-0000220E0000}"/>
    <cellStyle name="Migliaia 50 3 3 3" xfId="5204" xr:uid="{00000000-0005-0000-0000-0000230E0000}"/>
    <cellStyle name="Migliaia 50 3 3 4" xfId="6100" xr:uid="{00000000-0005-0000-0000-0000240E0000}"/>
    <cellStyle name="Migliaia 50 3 4" xfId="2532" xr:uid="{00000000-0005-0000-0000-0000250E0000}"/>
    <cellStyle name="Migliaia 50 3 4 2" xfId="5592" xr:uid="{00000000-0005-0000-0000-0000260E0000}"/>
    <cellStyle name="Migliaia 50 3 4 3" xfId="6514" xr:uid="{00000000-0005-0000-0000-0000270E0000}"/>
    <cellStyle name="Migliaia 50 3 5" xfId="5202" xr:uid="{00000000-0005-0000-0000-0000280E0000}"/>
    <cellStyle name="Migliaia 50 3 6" xfId="6098" xr:uid="{00000000-0005-0000-0000-0000290E0000}"/>
    <cellStyle name="Migliaia 50 4" xfId="851" xr:uid="{00000000-0005-0000-0000-00002A0E0000}"/>
    <cellStyle name="Migliaia 50 4 2" xfId="852" xr:uid="{00000000-0005-0000-0000-00002B0E0000}"/>
    <cellStyle name="Migliaia 50 4 2 2" xfId="2535" xr:uid="{00000000-0005-0000-0000-00002C0E0000}"/>
    <cellStyle name="Migliaia 50 4 2 2 2" xfId="5595" xr:uid="{00000000-0005-0000-0000-00002D0E0000}"/>
    <cellStyle name="Migliaia 50 4 2 2 3" xfId="6517" xr:uid="{00000000-0005-0000-0000-00002E0E0000}"/>
    <cellStyle name="Migliaia 50 4 2 3" xfId="5206" xr:uid="{00000000-0005-0000-0000-00002F0E0000}"/>
    <cellStyle name="Migliaia 50 4 2 4" xfId="6102" xr:uid="{00000000-0005-0000-0000-0000300E0000}"/>
    <cellStyle name="Migliaia 50 4 3" xfId="2534" xr:uid="{00000000-0005-0000-0000-0000310E0000}"/>
    <cellStyle name="Migliaia 50 4 3 2" xfId="5594" xr:uid="{00000000-0005-0000-0000-0000320E0000}"/>
    <cellStyle name="Migliaia 50 4 3 3" xfId="6516" xr:uid="{00000000-0005-0000-0000-0000330E0000}"/>
    <cellStyle name="Migliaia 50 4 4" xfId="5205" xr:uid="{00000000-0005-0000-0000-0000340E0000}"/>
    <cellStyle name="Migliaia 50 4 5" xfId="6101" xr:uid="{00000000-0005-0000-0000-0000350E0000}"/>
    <cellStyle name="Migliaia 50 5" xfId="853" xr:uid="{00000000-0005-0000-0000-0000360E0000}"/>
    <cellStyle name="Migliaia 50 5 2" xfId="5207" xr:uid="{00000000-0005-0000-0000-0000370E0000}"/>
    <cellStyle name="Migliaia 50 5 3" xfId="6103" xr:uid="{00000000-0005-0000-0000-0000380E0000}"/>
    <cellStyle name="Migliaia 50 6" xfId="4844" xr:uid="{00000000-0005-0000-0000-0000390E0000}"/>
    <cellStyle name="Migliaia 50 7" xfId="6096" xr:uid="{00000000-0005-0000-0000-00003A0E0000}"/>
    <cellStyle name="Migliaia 51" xfId="854" xr:uid="{00000000-0005-0000-0000-00003B0E0000}"/>
    <cellStyle name="Migliaia 51 2" xfId="855" xr:uid="{00000000-0005-0000-0000-00003C0E0000}"/>
    <cellStyle name="Migliaia 51 2 2" xfId="2536" xr:uid="{00000000-0005-0000-0000-00003D0E0000}"/>
    <cellStyle name="Migliaia 51 2 2 2" xfId="5596" xr:uid="{00000000-0005-0000-0000-00003E0E0000}"/>
    <cellStyle name="Migliaia 51 2 2 3" xfId="6518" xr:uid="{00000000-0005-0000-0000-00003F0E0000}"/>
    <cellStyle name="Migliaia 51 2 3" xfId="4909" xr:uid="{00000000-0005-0000-0000-0000400E0000}"/>
    <cellStyle name="Migliaia 51 2 4" xfId="6105" xr:uid="{00000000-0005-0000-0000-0000410E0000}"/>
    <cellStyle name="Migliaia 51 3" xfId="856" xr:uid="{00000000-0005-0000-0000-0000420E0000}"/>
    <cellStyle name="Migliaia 51 3 2" xfId="857" xr:uid="{00000000-0005-0000-0000-0000430E0000}"/>
    <cellStyle name="Migliaia 51 3 2 2" xfId="5209" xr:uid="{00000000-0005-0000-0000-0000440E0000}"/>
    <cellStyle name="Migliaia 51 3 2 3" xfId="6107" xr:uid="{00000000-0005-0000-0000-0000450E0000}"/>
    <cellStyle name="Migliaia 51 3 3" xfId="858" xr:uid="{00000000-0005-0000-0000-0000460E0000}"/>
    <cellStyle name="Migliaia 51 3 3 2" xfId="2538" xr:uid="{00000000-0005-0000-0000-0000470E0000}"/>
    <cellStyle name="Migliaia 51 3 3 2 2" xfId="5598" xr:uid="{00000000-0005-0000-0000-0000480E0000}"/>
    <cellStyle name="Migliaia 51 3 3 2 3" xfId="6520" xr:uid="{00000000-0005-0000-0000-0000490E0000}"/>
    <cellStyle name="Migliaia 51 3 3 3" xfId="5210" xr:uid="{00000000-0005-0000-0000-00004A0E0000}"/>
    <cellStyle name="Migliaia 51 3 3 4" xfId="6108" xr:uid="{00000000-0005-0000-0000-00004B0E0000}"/>
    <cellStyle name="Migliaia 51 3 4" xfId="2537" xr:uid="{00000000-0005-0000-0000-00004C0E0000}"/>
    <cellStyle name="Migliaia 51 3 4 2" xfId="5597" xr:uid="{00000000-0005-0000-0000-00004D0E0000}"/>
    <cellStyle name="Migliaia 51 3 4 3" xfId="6519" xr:uid="{00000000-0005-0000-0000-00004E0E0000}"/>
    <cellStyle name="Migliaia 51 3 5" xfId="5208" xr:uid="{00000000-0005-0000-0000-00004F0E0000}"/>
    <cellStyle name="Migliaia 51 3 6" xfId="6106" xr:uid="{00000000-0005-0000-0000-0000500E0000}"/>
    <cellStyle name="Migliaia 51 4" xfId="859" xr:uid="{00000000-0005-0000-0000-0000510E0000}"/>
    <cellStyle name="Migliaia 51 4 2" xfId="860" xr:uid="{00000000-0005-0000-0000-0000520E0000}"/>
    <cellStyle name="Migliaia 51 4 2 2" xfId="2540" xr:uid="{00000000-0005-0000-0000-0000530E0000}"/>
    <cellStyle name="Migliaia 51 4 2 2 2" xfId="5600" xr:uid="{00000000-0005-0000-0000-0000540E0000}"/>
    <cellStyle name="Migliaia 51 4 2 2 3" xfId="6522" xr:uid="{00000000-0005-0000-0000-0000550E0000}"/>
    <cellStyle name="Migliaia 51 4 2 3" xfId="5212" xr:uid="{00000000-0005-0000-0000-0000560E0000}"/>
    <cellStyle name="Migliaia 51 4 2 4" xfId="6110" xr:uid="{00000000-0005-0000-0000-0000570E0000}"/>
    <cellStyle name="Migliaia 51 4 3" xfId="2539" xr:uid="{00000000-0005-0000-0000-0000580E0000}"/>
    <cellStyle name="Migliaia 51 4 3 2" xfId="5599" xr:uid="{00000000-0005-0000-0000-0000590E0000}"/>
    <cellStyle name="Migliaia 51 4 3 3" xfId="6521" xr:uid="{00000000-0005-0000-0000-00005A0E0000}"/>
    <cellStyle name="Migliaia 51 4 4" xfId="5211" xr:uid="{00000000-0005-0000-0000-00005B0E0000}"/>
    <cellStyle name="Migliaia 51 4 5" xfId="6109" xr:uid="{00000000-0005-0000-0000-00005C0E0000}"/>
    <cellStyle name="Migliaia 51 5" xfId="861" xr:uid="{00000000-0005-0000-0000-00005D0E0000}"/>
    <cellStyle name="Migliaia 51 5 2" xfId="5213" xr:uid="{00000000-0005-0000-0000-00005E0E0000}"/>
    <cellStyle name="Migliaia 51 5 3" xfId="6111" xr:uid="{00000000-0005-0000-0000-00005F0E0000}"/>
    <cellStyle name="Migliaia 51 6" xfId="4845" xr:uid="{00000000-0005-0000-0000-0000600E0000}"/>
    <cellStyle name="Migliaia 51 7" xfId="6104" xr:uid="{00000000-0005-0000-0000-0000610E0000}"/>
    <cellStyle name="Migliaia 52" xfId="862" xr:uid="{00000000-0005-0000-0000-0000620E0000}"/>
    <cellStyle name="Migliaia 52 2" xfId="863" xr:uid="{00000000-0005-0000-0000-0000630E0000}"/>
    <cellStyle name="Migliaia 52 2 2" xfId="2541" xr:uid="{00000000-0005-0000-0000-0000640E0000}"/>
    <cellStyle name="Migliaia 52 2 2 2" xfId="5601" xr:uid="{00000000-0005-0000-0000-0000650E0000}"/>
    <cellStyle name="Migliaia 52 2 2 3" xfId="6523" xr:uid="{00000000-0005-0000-0000-0000660E0000}"/>
    <cellStyle name="Migliaia 52 2 3" xfId="4910" xr:uid="{00000000-0005-0000-0000-0000670E0000}"/>
    <cellStyle name="Migliaia 52 2 4" xfId="6113" xr:uid="{00000000-0005-0000-0000-0000680E0000}"/>
    <cellStyle name="Migliaia 52 3" xfId="864" xr:uid="{00000000-0005-0000-0000-0000690E0000}"/>
    <cellStyle name="Migliaia 52 3 2" xfId="865" xr:uid="{00000000-0005-0000-0000-00006A0E0000}"/>
    <cellStyle name="Migliaia 52 3 2 2" xfId="5215" xr:uid="{00000000-0005-0000-0000-00006B0E0000}"/>
    <cellStyle name="Migliaia 52 3 2 3" xfId="6115" xr:uid="{00000000-0005-0000-0000-00006C0E0000}"/>
    <cellStyle name="Migliaia 52 3 3" xfId="866" xr:uid="{00000000-0005-0000-0000-00006D0E0000}"/>
    <cellStyle name="Migliaia 52 3 3 2" xfId="2543" xr:uid="{00000000-0005-0000-0000-00006E0E0000}"/>
    <cellStyle name="Migliaia 52 3 3 2 2" xfId="5603" xr:uid="{00000000-0005-0000-0000-00006F0E0000}"/>
    <cellStyle name="Migliaia 52 3 3 2 3" xfId="6525" xr:uid="{00000000-0005-0000-0000-0000700E0000}"/>
    <cellStyle name="Migliaia 52 3 3 3" xfId="5216" xr:uid="{00000000-0005-0000-0000-0000710E0000}"/>
    <cellStyle name="Migliaia 52 3 3 4" xfId="6116" xr:uid="{00000000-0005-0000-0000-0000720E0000}"/>
    <cellStyle name="Migliaia 52 3 4" xfId="2542" xr:uid="{00000000-0005-0000-0000-0000730E0000}"/>
    <cellStyle name="Migliaia 52 3 4 2" xfId="5602" xr:uid="{00000000-0005-0000-0000-0000740E0000}"/>
    <cellStyle name="Migliaia 52 3 4 3" xfId="6524" xr:uid="{00000000-0005-0000-0000-0000750E0000}"/>
    <cellStyle name="Migliaia 52 3 5" xfId="5214" xr:uid="{00000000-0005-0000-0000-0000760E0000}"/>
    <cellStyle name="Migliaia 52 3 6" xfId="6114" xr:uid="{00000000-0005-0000-0000-0000770E0000}"/>
    <cellStyle name="Migliaia 52 4" xfId="867" xr:uid="{00000000-0005-0000-0000-0000780E0000}"/>
    <cellStyle name="Migliaia 52 4 2" xfId="868" xr:uid="{00000000-0005-0000-0000-0000790E0000}"/>
    <cellStyle name="Migliaia 52 4 2 2" xfId="2545" xr:uid="{00000000-0005-0000-0000-00007A0E0000}"/>
    <cellStyle name="Migliaia 52 4 2 2 2" xfId="5605" xr:uid="{00000000-0005-0000-0000-00007B0E0000}"/>
    <cellStyle name="Migliaia 52 4 2 2 3" xfId="6527" xr:uid="{00000000-0005-0000-0000-00007C0E0000}"/>
    <cellStyle name="Migliaia 52 4 2 3" xfId="5218" xr:uid="{00000000-0005-0000-0000-00007D0E0000}"/>
    <cellStyle name="Migliaia 52 4 2 4" xfId="6118" xr:uid="{00000000-0005-0000-0000-00007E0E0000}"/>
    <cellStyle name="Migliaia 52 4 3" xfId="2544" xr:uid="{00000000-0005-0000-0000-00007F0E0000}"/>
    <cellStyle name="Migliaia 52 4 3 2" xfId="5604" xr:uid="{00000000-0005-0000-0000-0000800E0000}"/>
    <cellStyle name="Migliaia 52 4 3 3" xfId="6526" xr:uid="{00000000-0005-0000-0000-0000810E0000}"/>
    <cellStyle name="Migliaia 52 4 4" xfId="5217" xr:uid="{00000000-0005-0000-0000-0000820E0000}"/>
    <cellStyle name="Migliaia 52 4 5" xfId="6117" xr:uid="{00000000-0005-0000-0000-0000830E0000}"/>
    <cellStyle name="Migliaia 52 5" xfId="869" xr:uid="{00000000-0005-0000-0000-0000840E0000}"/>
    <cellStyle name="Migliaia 52 5 2" xfId="5219" xr:uid="{00000000-0005-0000-0000-0000850E0000}"/>
    <cellStyle name="Migliaia 52 5 3" xfId="6119" xr:uid="{00000000-0005-0000-0000-0000860E0000}"/>
    <cellStyle name="Migliaia 52 6" xfId="4846" xr:uid="{00000000-0005-0000-0000-0000870E0000}"/>
    <cellStyle name="Migliaia 52 7" xfId="6112" xr:uid="{00000000-0005-0000-0000-0000880E0000}"/>
    <cellStyle name="Migliaia 53" xfId="870" xr:uid="{00000000-0005-0000-0000-0000890E0000}"/>
    <cellStyle name="Migliaia 53 2" xfId="871" xr:uid="{00000000-0005-0000-0000-00008A0E0000}"/>
    <cellStyle name="Migliaia 53 2 2" xfId="2546" xr:uid="{00000000-0005-0000-0000-00008B0E0000}"/>
    <cellStyle name="Migliaia 53 2 2 2" xfId="5606" xr:uid="{00000000-0005-0000-0000-00008C0E0000}"/>
    <cellStyle name="Migliaia 53 2 2 3" xfId="6528" xr:uid="{00000000-0005-0000-0000-00008D0E0000}"/>
    <cellStyle name="Migliaia 53 2 3" xfId="4911" xr:uid="{00000000-0005-0000-0000-00008E0E0000}"/>
    <cellStyle name="Migliaia 53 2 4" xfId="6121" xr:uid="{00000000-0005-0000-0000-00008F0E0000}"/>
    <cellStyle name="Migliaia 53 3" xfId="872" xr:uid="{00000000-0005-0000-0000-0000900E0000}"/>
    <cellStyle name="Migliaia 53 3 2" xfId="873" xr:uid="{00000000-0005-0000-0000-0000910E0000}"/>
    <cellStyle name="Migliaia 53 3 2 2" xfId="5221" xr:uid="{00000000-0005-0000-0000-0000920E0000}"/>
    <cellStyle name="Migliaia 53 3 2 3" xfId="6123" xr:uid="{00000000-0005-0000-0000-0000930E0000}"/>
    <cellStyle name="Migliaia 53 3 3" xfId="874" xr:uid="{00000000-0005-0000-0000-0000940E0000}"/>
    <cellStyle name="Migliaia 53 3 3 2" xfId="2548" xr:uid="{00000000-0005-0000-0000-0000950E0000}"/>
    <cellStyle name="Migliaia 53 3 3 2 2" xfId="5608" xr:uid="{00000000-0005-0000-0000-0000960E0000}"/>
    <cellStyle name="Migliaia 53 3 3 2 3" xfId="6530" xr:uid="{00000000-0005-0000-0000-0000970E0000}"/>
    <cellStyle name="Migliaia 53 3 3 3" xfId="5222" xr:uid="{00000000-0005-0000-0000-0000980E0000}"/>
    <cellStyle name="Migliaia 53 3 3 4" xfId="6124" xr:uid="{00000000-0005-0000-0000-0000990E0000}"/>
    <cellStyle name="Migliaia 53 3 4" xfId="2547" xr:uid="{00000000-0005-0000-0000-00009A0E0000}"/>
    <cellStyle name="Migliaia 53 3 4 2" xfId="5607" xr:uid="{00000000-0005-0000-0000-00009B0E0000}"/>
    <cellStyle name="Migliaia 53 3 4 3" xfId="6529" xr:uid="{00000000-0005-0000-0000-00009C0E0000}"/>
    <cellStyle name="Migliaia 53 3 5" xfId="5220" xr:uid="{00000000-0005-0000-0000-00009D0E0000}"/>
    <cellStyle name="Migliaia 53 3 6" xfId="6122" xr:uid="{00000000-0005-0000-0000-00009E0E0000}"/>
    <cellStyle name="Migliaia 53 4" xfId="875" xr:uid="{00000000-0005-0000-0000-00009F0E0000}"/>
    <cellStyle name="Migliaia 53 4 2" xfId="876" xr:uid="{00000000-0005-0000-0000-0000A00E0000}"/>
    <cellStyle name="Migliaia 53 4 2 2" xfId="2550" xr:uid="{00000000-0005-0000-0000-0000A10E0000}"/>
    <cellStyle name="Migliaia 53 4 2 2 2" xfId="5610" xr:uid="{00000000-0005-0000-0000-0000A20E0000}"/>
    <cellStyle name="Migliaia 53 4 2 2 3" xfId="6532" xr:uid="{00000000-0005-0000-0000-0000A30E0000}"/>
    <cellStyle name="Migliaia 53 4 2 3" xfId="5224" xr:uid="{00000000-0005-0000-0000-0000A40E0000}"/>
    <cellStyle name="Migliaia 53 4 2 4" xfId="6126" xr:uid="{00000000-0005-0000-0000-0000A50E0000}"/>
    <cellStyle name="Migliaia 53 4 3" xfId="2549" xr:uid="{00000000-0005-0000-0000-0000A60E0000}"/>
    <cellStyle name="Migliaia 53 4 3 2" xfId="5609" xr:uid="{00000000-0005-0000-0000-0000A70E0000}"/>
    <cellStyle name="Migliaia 53 4 3 3" xfId="6531" xr:uid="{00000000-0005-0000-0000-0000A80E0000}"/>
    <cellStyle name="Migliaia 53 4 4" xfId="5223" xr:uid="{00000000-0005-0000-0000-0000A90E0000}"/>
    <cellStyle name="Migliaia 53 4 5" xfId="6125" xr:uid="{00000000-0005-0000-0000-0000AA0E0000}"/>
    <cellStyle name="Migliaia 53 5" xfId="877" xr:uid="{00000000-0005-0000-0000-0000AB0E0000}"/>
    <cellStyle name="Migliaia 53 5 2" xfId="5225" xr:uid="{00000000-0005-0000-0000-0000AC0E0000}"/>
    <cellStyle name="Migliaia 53 5 3" xfId="6127" xr:uid="{00000000-0005-0000-0000-0000AD0E0000}"/>
    <cellStyle name="Migliaia 53 6" xfId="4847" xr:uid="{00000000-0005-0000-0000-0000AE0E0000}"/>
    <cellStyle name="Migliaia 53 7" xfId="6120" xr:uid="{00000000-0005-0000-0000-0000AF0E0000}"/>
    <cellStyle name="Migliaia 54" xfId="878" xr:uid="{00000000-0005-0000-0000-0000B00E0000}"/>
    <cellStyle name="Migliaia 54 2" xfId="879" xr:uid="{00000000-0005-0000-0000-0000B10E0000}"/>
    <cellStyle name="Migliaia 54 2 2" xfId="2551" xr:uid="{00000000-0005-0000-0000-0000B20E0000}"/>
    <cellStyle name="Migliaia 54 2 2 2" xfId="5611" xr:uid="{00000000-0005-0000-0000-0000B30E0000}"/>
    <cellStyle name="Migliaia 54 2 2 3" xfId="6533" xr:uid="{00000000-0005-0000-0000-0000B40E0000}"/>
    <cellStyle name="Migliaia 54 2 3" xfId="4912" xr:uid="{00000000-0005-0000-0000-0000B50E0000}"/>
    <cellStyle name="Migliaia 54 2 4" xfId="6129" xr:uid="{00000000-0005-0000-0000-0000B60E0000}"/>
    <cellStyle name="Migliaia 54 3" xfId="880" xr:uid="{00000000-0005-0000-0000-0000B70E0000}"/>
    <cellStyle name="Migliaia 54 3 2" xfId="881" xr:uid="{00000000-0005-0000-0000-0000B80E0000}"/>
    <cellStyle name="Migliaia 54 3 2 2" xfId="5227" xr:uid="{00000000-0005-0000-0000-0000B90E0000}"/>
    <cellStyle name="Migliaia 54 3 2 3" xfId="6131" xr:uid="{00000000-0005-0000-0000-0000BA0E0000}"/>
    <cellStyle name="Migliaia 54 3 3" xfId="882" xr:uid="{00000000-0005-0000-0000-0000BB0E0000}"/>
    <cellStyle name="Migliaia 54 3 3 2" xfId="2553" xr:uid="{00000000-0005-0000-0000-0000BC0E0000}"/>
    <cellStyle name="Migliaia 54 3 3 2 2" xfId="5613" xr:uid="{00000000-0005-0000-0000-0000BD0E0000}"/>
    <cellStyle name="Migliaia 54 3 3 2 3" xfId="6535" xr:uid="{00000000-0005-0000-0000-0000BE0E0000}"/>
    <cellStyle name="Migliaia 54 3 3 3" xfId="5228" xr:uid="{00000000-0005-0000-0000-0000BF0E0000}"/>
    <cellStyle name="Migliaia 54 3 3 4" xfId="6132" xr:uid="{00000000-0005-0000-0000-0000C00E0000}"/>
    <cellStyle name="Migliaia 54 3 4" xfId="2552" xr:uid="{00000000-0005-0000-0000-0000C10E0000}"/>
    <cellStyle name="Migliaia 54 3 4 2" xfId="5612" xr:uid="{00000000-0005-0000-0000-0000C20E0000}"/>
    <cellStyle name="Migliaia 54 3 4 3" xfId="6534" xr:uid="{00000000-0005-0000-0000-0000C30E0000}"/>
    <cellStyle name="Migliaia 54 3 5" xfId="5226" xr:uid="{00000000-0005-0000-0000-0000C40E0000}"/>
    <cellStyle name="Migliaia 54 3 6" xfId="6130" xr:uid="{00000000-0005-0000-0000-0000C50E0000}"/>
    <cellStyle name="Migliaia 54 4" xfId="883" xr:uid="{00000000-0005-0000-0000-0000C60E0000}"/>
    <cellStyle name="Migliaia 54 4 2" xfId="884" xr:uid="{00000000-0005-0000-0000-0000C70E0000}"/>
    <cellStyle name="Migliaia 54 4 2 2" xfId="2555" xr:uid="{00000000-0005-0000-0000-0000C80E0000}"/>
    <cellStyle name="Migliaia 54 4 2 2 2" xfId="5615" xr:uid="{00000000-0005-0000-0000-0000C90E0000}"/>
    <cellStyle name="Migliaia 54 4 2 2 3" xfId="6537" xr:uid="{00000000-0005-0000-0000-0000CA0E0000}"/>
    <cellStyle name="Migliaia 54 4 2 3" xfId="5230" xr:uid="{00000000-0005-0000-0000-0000CB0E0000}"/>
    <cellStyle name="Migliaia 54 4 2 4" xfId="6134" xr:uid="{00000000-0005-0000-0000-0000CC0E0000}"/>
    <cellStyle name="Migliaia 54 4 3" xfId="2554" xr:uid="{00000000-0005-0000-0000-0000CD0E0000}"/>
    <cellStyle name="Migliaia 54 4 3 2" xfId="5614" xr:uid="{00000000-0005-0000-0000-0000CE0E0000}"/>
    <cellStyle name="Migliaia 54 4 3 3" xfId="6536" xr:uid="{00000000-0005-0000-0000-0000CF0E0000}"/>
    <cellStyle name="Migliaia 54 4 4" xfId="5229" xr:uid="{00000000-0005-0000-0000-0000D00E0000}"/>
    <cellStyle name="Migliaia 54 4 5" xfId="6133" xr:uid="{00000000-0005-0000-0000-0000D10E0000}"/>
    <cellStyle name="Migliaia 54 5" xfId="885" xr:uid="{00000000-0005-0000-0000-0000D20E0000}"/>
    <cellStyle name="Migliaia 54 5 2" xfId="5231" xr:uid="{00000000-0005-0000-0000-0000D30E0000}"/>
    <cellStyle name="Migliaia 54 5 3" xfId="6135" xr:uid="{00000000-0005-0000-0000-0000D40E0000}"/>
    <cellStyle name="Migliaia 54 6" xfId="4848" xr:uid="{00000000-0005-0000-0000-0000D50E0000}"/>
    <cellStyle name="Migliaia 54 7" xfId="6128" xr:uid="{00000000-0005-0000-0000-0000D60E0000}"/>
    <cellStyle name="Migliaia 55" xfId="886" xr:uid="{00000000-0005-0000-0000-0000D70E0000}"/>
    <cellStyle name="Migliaia 55 2" xfId="887" xr:uid="{00000000-0005-0000-0000-0000D80E0000}"/>
    <cellStyle name="Migliaia 55 2 2" xfId="2556" xr:uid="{00000000-0005-0000-0000-0000D90E0000}"/>
    <cellStyle name="Migliaia 55 2 2 2" xfId="5616" xr:uid="{00000000-0005-0000-0000-0000DA0E0000}"/>
    <cellStyle name="Migliaia 55 2 2 3" xfId="6538" xr:uid="{00000000-0005-0000-0000-0000DB0E0000}"/>
    <cellStyle name="Migliaia 55 2 3" xfId="4913" xr:uid="{00000000-0005-0000-0000-0000DC0E0000}"/>
    <cellStyle name="Migliaia 55 2 4" xfId="6137" xr:uid="{00000000-0005-0000-0000-0000DD0E0000}"/>
    <cellStyle name="Migliaia 55 3" xfId="888" xr:uid="{00000000-0005-0000-0000-0000DE0E0000}"/>
    <cellStyle name="Migliaia 55 3 2" xfId="889" xr:uid="{00000000-0005-0000-0000-0000DF0E0000}"/>
    <cellStyle name="Migliaia 55 3 2 2" xfId="5233" xr:uid="{00000000-0005-0000-0000-0000E00E0000}"/>
    <cellStyle name="Migliaia 55 3 2 3" xfId="6139" xr:uid="{00000000-0005-0000-0000-0000E10E0000}"/>
    <cellStyle name="Migliaia 55 3 3" xfId="890" xr:uid="{00000000-0005-0000-0000-0000E20E0000}"/>
    <cellStyle name="Migliaia 55 3 3 2" xfId="2558" xr:uid="{00000000-0005-0000-0000-0000E30E0000}"/>
    <cellStyle name="Migliaia 55 3 3 2 2" xfId="5618" xr:uid="{00000000-0005-0000-0000-0000E40E0000}"/>
    <cellStyle name="Migliaia 55 3 3 2 3" xfId="6540" xr:uid="{00000000-0005-0000-0000-0000E50E0000}"/>
    <cellStyle name="Migliaia 55 3 3 3" xfId="5234" xr:uid="{00000000-0005-0000-0000-0000E60E0000}"/>
    <cellStyle name="Migliaia 55 3 3 4" xfId="6140" xr:uid="{00000000-0005-0000-0000-0000E70E0000}"/>
    <cellStyle name="Migliaia 55 3 4" xfId="2557" xr:uid="{00000000-0005-0000-0000-0000E80E0000}"/>
    <cellStyle name="Migliaia 55 3 4 2" xfId="5617" xr:uid="{00000000-0005-0000-0000-0000E90E0000}"/>
    <cellStyle name="Migliaia 55 3 4 3" xfId="6539" xr:uid="{00000000-0005-0000-0000-0000EA0E0000}"/>
    <cellStyle name="Migliaia 55 3 5" xfId="5232" xr:uid="{00000000-0005-0000-0000-0000EB0E0000}"/>
    <cellStyle name="Migliaia 55 3 6" xfId="6138" xr:uid="{00000000-0005-0000-0000-0000EC0E0000}"/>
    <cellStyle name="Migliaia 55 4" xfId="891" xr:uid="{00000000-0005-0000-0000-0000ED0E0000}"/>
    <cellStyle name="Migliaia 55 4 2" xfId="892" xr:uid="{00000000-0005-0000-0000-0000EE0E0000}"/>
    <cellStyle name="Migliaia 55 4 2 2" xfId="2560" xr:uid="{00000000-0005-0000-0000-0000EF0E0000}"/>
    <cellStyle name="Migliaia 55 4 2 2 2" xfId="5620" xr:uid="{00000000-0005-0000-0000-0000F00E0000}"/>
    <cellStyle name="Migliaia 55 4 2 2 3" xfId="6542" xr:uid="{00000000-0005-0000-0000-0000F10E0000}"/>
    <cellStyle name="Migliaia 55 4 2 3" xfId="5236" xr:uid="{00000000-0005-0000-0000-0000F20E0000}"/>
    <cellStyle name="Migliaia 55 4 2 4" xfId="6142" xr:uid="{00000000-0005-0000-0000-0000F30E0000}"/>
    <cellStyle name="Migliaia 55 4 3" xfId="2559" xr:uid="{00000000-0005-0000-0000-0000F40E0000}"/>
    <cellStyle name="Migliaia 55 4 3 2" xfId="5619" xr:uid="{00000000-0005-0000-0000-0000F50E0000}"/>
    <cellStyle name="Migliaia 55 4 3 3" xfId="6541" xr:uid="{00000000-0005-0000-0000-0000F60E0000}"/>
    <cellStyle name="Migliaia 55 4 4" xfId="5235" xr:uid="{00000000-0005-0000-0000-0000F70E0000}"/>
    <cellStyle name="Migliaia 55 4 5" xfId="6141" xr:uid="{00000000-0005-0000-0000-0000F80E0000}"/>
    <cellStyle name="Migliaia 55 5" xfId="893" xr:uid="{00000000-0005-0000-0000-0000F90E0000}"/>
    <cellStyle name="Migliaia 55 5 2" xfId="5237" xr:uid="{00000000-0005-0000-0000-0000FA0E0000}"/>
    <cellStyle name="Migliaia 55 5 3" xfId="6143" xr:uid="{00000000-0005-0000-0000-0000FB0E0000}"/>
    <cellStyle name="Migliaia 55 6" xfId="4849" xr:uid="{00000000-0005-0000-0000-0000FC0E0000}"/>
    <cellStyle name="Migliaia 55 7" xfId="6136" xr:uid="{00000000-0005-0000-0000-0000FD0E0000}"/>
    <cellStyle name="Migliaia 56" xfId="894" xr:uid="{00000000-0005-0000-0000-0000FE0E0000}"/>
    <cellStyle name="Migliaia 56 2" xfId="895" xr:uid="{00000000-0005-0000-0000-0000FF0E0000}"/>
    <cellStyle name="Migliaia 56 2 2" xfId="2561" xr:uid="{00000000-0005-0000-0000-0000000F0000}"/>
    <cellStyle name="Migliaia 56 2 2 2" xfId="5621" xr:uid="{00000000-0005-0000-0000-0000010F0000}"/>
    <cellStyle name="Migliaia 56 2 2 3" xfId="6543" xr:uid="{00000000-0005-0000-0000-0000020F0000}"/>
    <cellStyle name="Migliaia 56 2 3" xfId="4914" xr:uid="{00000000-0005-0000-0000-0000030F0000}"/>
    <cellStyle name="Migliaia 56 2 4" xfId="6145" xr:uid="{00000000-0005-0000-0000-0000040F0000}"/>
    <cellStyle name="Migliaia 56 3" xfId="896" xr:uid="{00000000-0005-0000-0000-0000050F0000}"/>
    <cellStyle name="Migliaia 56 3 2" xfId="897" xr:uid="{00000000-0005-0000-0000-0000060F0000}"/>
    <cellStyle name="Migliaia 56 3 2 2" xfId="5239" xr:uid="{00000000-0005-0000-0000-0000070F0000}"/>
    <cellStyle name="Migliaia 56 3 2 3" xfId="6147" xr:uid="{00000000-0005-0000-0000-0000080F0000}"/>
    <cellStyle name="Migliaia 56 3 3" xfId="898" xr:uid="{00000000-0005-0000-0000-0000090F0000}"/>
    <cellStyle name="Migliaia 56 3 3 2" xfId="2563" xr:uid="{00000000-0005-0000-0000-00000A0F0000}"/>
    <cellStyle name="Migliaia 56 3 3 2 2" xfId="5623" xr:uid="{00000000-0005-0000-0000-00000B0F0000}"/>
    <cellStyle name="Migliaia 56 3 3 2 3" xfId="6545" xr:uid="{00000000-0005-0000-0000-00000C0F0000}"/>
    <cellStyle name="Migliaia 56 3 3 3" xfId="5240" xr:uid="{00000000-0005-0000-0000-00000D0F0000}"/>
    <cellStyle name="Migliaia 56 3 3 4" xfId="6148" xr:uid="{00000000-0005-0000-0000-00000E0F0000}"/>
    <cellStyle name="Migliaia 56 3 4" xfId="2562" xr:uid="{00000000-0005-0000-0000-00000F0F0000}"/>
    <cellStyle name="Migliaia 56 3 4 2" xfId="5622" xr:uid="{00000000-0005-0000-0000-0000100F0000}"/>
    <cellStyle name="Migliaia 56 3 4 3" xfId="6544" xr:uid="{00000000-0005-0000-0000-0000110F0000}"/>
    <cellStyle name="Migliaia 56 3 5" xfId="5238" xr:uid="{00000000-0005-0000-0000-0000120F0000}"/>
    <cellStyle name="Migliaia 56 3 6" xfId="6146" xr:uid="{00000000-0005-0000-0000-0000130F0000}"/>
    <cellStyle name="Migliaia 56 4" xfId="899" xr:uid="{00000000-0005-0000-0000-0000140F0000}"/>
    <cellStyle name="Migliaia 56 4 2" xfId="900" xr:uid="{00000000-0005-0000-0000-0000150F0000}"/>
    <cellStyle name="Migliaia 56 4 2 2" xfId="2565" xr:uid="{00000000-0005-0000-0000-0000160F0000}"/>
    <cellStyle name="Migliaia 56 4 2 2 2" xfId="5625" xr:uid="{00000000-0005-0000-0000-0000170F0000}"/>
    <cellStyle name="Migliaia 56 4 2 2 3" xfId="6547" xr:uid="{00000000-0005-0000-0000-0000180F0000}"/>
    <cellStyle name="Migliaia 56 4 2 3" xfId="5242" xr:uid="{00000000-0005-0000-0000-0000190F0000}"/>
    <cellStyle name="Migliaia 56 4 2 4" xfId="6150" xr:uid="{00000000-0005-0000-0000-00001A0F0000}"/>
    <cellStyle name="Migliaia 56 4 3" xfId="2564" xr:uid="{00000000-0005-0000-0000-00001B0F0000}"/>
    <cellStyle name="Migliaia 56 4 3 2" xfId="5624" xr:uid="{00000000-0005-0000-0000-00001C0F0000}"/>
    <cellStyle name="Migliaia 56 4 3 3" xfId="6546" xr:uid="{00000000-0005-0000-0000-00001D0F0000}"/>
    <cellStyle name="Migliaia 56 4 4" xfId="5241" xr:uid="{00000000-0005-0000-0000-00001E0F0000}"/>
    <cellStyle name="Migliaia 56 4 5" xfId="6149" xr:uid="{00000000-0005-0000-0000-00001F0F0000}"/>
    <cellStyle name="Migliaia 56 5" xfId="901" xr:uid="{00000000-0005-0000-0000-0000200F0000}"/>
    <cellStyle name="Migliaia 56 5 2" xfId="5243" xr:uid="{00000000-0005-0000-0000-0000210F0000}"/>
    <cellStyle name="Migliaia 56 5 3" xfId="6151" xr:uid="{00000000-0005-0000-0000-0000220F0000}"/>
    <cellStyle name="Migliaia 56 6" xfId="4850" xr:uid="{00000000-0005-0000-0000-0000230F0000}"/>
    <cellStyle name="Migliaia 56 7" xfId="6144" xr:uid="{00000000-0005-0000-0000-0000240F0000}"/>
    <cellStyle name="Migliaia 57" xfId="902" xr:uid="{00000000-0005-0000-0000-0000250F0000}"/>
    <cellStyle name="Migliaia 57 2" xfId="903" xr:uid="{00000000-0005-0000-0000-0000260F0000}"/>
    <cellStyle name="Migliaia 57 2 2" xfId="2566" xr:uid="{00000000-0005-0000-0000-0000270F0000}"/>
    <cellStyle name="Migliaia 57 2 2 2" xfId="5626" xr:uid="{00000000-0005-0000-0000-0000280F0000}"/>
    <cellStyle name="Migliaia 57 2 2 3" xfId="6548" xr:uid="{00000000-0005-0000-0000-0000290F0000}"/>
    <cellStyle name="Migliaia 57 2 3" xfId="4915" xr:uid="{00000000-0005-0000-0000-00002A0F0000}"/>
    <cellStyle name="Migliaia 57 2 4" xfId="6153" xr:uid="{00000000-0005-0000-0000-00002B0F0000}"/>
    <cellStyle name="Migliaia 57 3" xfId="904" xr:uid="{00000000-0005-0000-0000-00002C0F0000}"/>
    <cellStyle name="Migliaia 57 3 2" xfId="905" xr:uid="{00000000-0005-0000-0000-00002D0F0000}"/>
    <cellStyle name="Migliaia 57 3 2 2" xfId="5245" xr:uid="{00000000-0005-0000-0000-00002E0F0000}"/>
    <cellStyle name="Migliaia 57 3 2 3" xfId="6155" xr:uid="{00000000-0005-0000-0000-00002F0F0000}"/>
    <cellStyle name="Migliaia 57 3 3" xfId="906" xr:uid="{00000000-0005-0000-0000-0000300F0000}"/>
    <cellStyle name="Migliaia 57 3 3 2" xfId="2568" xr:uid="{00000000-0005-0000-0000-0000310F0000}"/>
    <cellStyle name="Migliaia 57 3 3 2 2" xfId="5628" xr:uid="{00000000-0005-0000-0000-0000320F0000}"/>
    <cellStyle name="Migliaia 57 3 3 2 3" xfId="6550" xr:uid="{00000000-0005-0000-0000-0000330F0000}"/>
    <cellStyle name="Migliaia 57 3 3 3" xfId="5246" xr:uid="{00000000-0005-0000-0000-0000340F0000}"/>
    <cellStyle name="Migliaia 57 3 3 4" xfId="6156" xr:uid="{00000000-0005-0000-0000-0000350F0000}"/>
    <cellStyle name="Migliaia 57 3 4" xfId="2567" xr:uid="{00000000-0005-0000-0000-0000360F0000}"/>
    <cellStyle name="Migliaia 57 3 4 2" xfId="5627" xr:uid="{00000000-0005-0000-0000-0000370F0000}"/>
    <cellStyle name="Migliaia 57 3 4 3" xfId="6549" xr:uid="{00000000-0005-0000-0000-0000380F0000}"/>
    <cellStyle name="Migliaia 57 3 5" xfId="5244" xr:uid="{00000000-0005-0000-0000-0000390F0000}"/>
    <cellStyle name="Migliaia 57 3 6" xfId="6154" xr:uid="{00000000-0005-0000-0000-00003A0F0000}"/>
    <cellStyle name="Migliaia 57 4" xfId="907" xr:uid="{00000000-0005-0000-0000-00003B0F0000}"/>
    <cellStyle name="Migliaia 57 4 2" xfId="908" xr:uid="{00000000-0005-0000-0000-00003C0F0000}"/>
    <cellStyle name="Migliaia 57 4 2 2" xfId="2570" xr:uid="{00000000-0005-0000-0000-00003D0F0000}"/>
    <cellStyle name="Migliaia 57 4 2 2 2" xfId="5630" xr:uid="{00000000-0005-0000-0000-00003E0F0000}"/>
    <cellStyle name="Migliaia 57 4 2 2 3" xfId="6552" xr:uid="{00000000-0005-0000-0000-00003F0F0000}"/>
    <cellStyle name="Migliaia 57 4 2 3" xfId="5248" xr:uid="{00000000-0005-0000-0000-0000400F0000}"/>
    <cellStyle name="Migliaia 57 4 2 4" xfId="6158" xr:uid="{00000000-0005-0000-0000-0000410F0000}"/>
    <cellStyle name="Migliaia 57 4 3" xfId="2569" xr:uid="{00000000-0005-0000-0000-0000420F0000}"/>
    <cellStyle name="Migliaia 57 4 3 2" xfId="5629" xr:uid="{00000000-0005-0000-0000-0000430F0000}"/>
    <cellStyle name="Migliaia 57 4 3 3" xfId="6551" xr:uid="{00000000-0005-0000-0000-0000440F0000}"/>
    <cellStyle name="Migliaia 57 4 4" xfId="5247" xr:uid="{00000000-0005-0000-0000-0000450F0000}"/>
    <cellStyle name="Migliaia 57 4 5" xfId="6157" xr:uid="{00000000-0005-0000-0000-0000460F0000}"/>
    <cellStyle name="Migliaia 57 5" xfId="909" xr:uid="{00000000-0005-0000-0000-0000470F0000}"/>
    <cellStyle name="Migliaia 57 5 2" xfId="5249" xr:uid="{00000000-0005-0000-0000-0000480F0000}"/>
    <cellStyle name="Migliaia 57 5 3" xfId="6159" xr:uid="{00000000-0005-0000-0000-0000490F0000}"/>
    <cellStyle name="Migliaia 57 6" xfId="4851" xr:uid="{00000000-0005-0000-0000-00004A0F0000}"/>
    <cellStyle name="Migliaia 57 7" xfId="6152" xr:uid="{00000000-0005-0000-0000-00004B0F0000}"/>
    <cellStyle name="Migliaia 58" xfId="910" xr:uid="{00000000-0005-0000-0000-00004C0F0000}"/>
    <cellStyle name="Migliaia 58 2" xfId="911" xr:uid="{00000000-0005-0000-0000-00004D0F0000}"/>
    <cellStyle name="Migliaia 58 2 2" xfId="2571" xr:uid="{00000000-0005-0000-0000-00004E0F0000}"/>
    <cellStyle name="Migliaia 58 2 2 2" xfId="5631" xr:uid="{00000000-0005-0000-0000-00004F0F0000}"/>
    <cellStyle name="Migliaia 58 2 2 3" xfId="6553" xr:uid="{00000000-0005-0000-0000-0000500F0000}"/>
    <cellStyle name="Migliaia 58 2 3" xfId="4916" xr:uid="{00000000-0005-0000-0000-0000510F0000}"/>
    <cellStyle name="Migliaia 58 2 4" xfId="6161" xr:uid="{00000000-0005-0000-0000-0000520F0000}"/>
    <cellStyle name="Migliaia 58 3" xfId="912" xr:uid="{00000000-0005-0000-0000-0000530F0000}"/>
    <cellStyle name="Migliaia 58 3 2" xfId="913" xr:uid="{00000000-0005-0000-0000-0000540F0000}"/>
    <cellStyle name="Migliaia 58 3 2 2" xfId="5251" xr:uid="{00000000-0005-0000-0000-0000550F0000}"/>
    <cellStyle name="Migliaia 58 3 2 3" xfId="6163" xr:uid="{00000000-0005-0000-0000-0000560F0000}"/>
    <cellStyle name="Migliaia 58 3 3" xfId="914" xr:uid="{00000000-0005-0000-0000-0000570F0000}"/>
    <cellStyle name="Migliaia 58 3 3 2" xfId="2573" xr:uid="{00000000-0005-0000-0000-0000580F0000}"/>
    <cellStyle name="Migliaia 58 3 3 2 2" xfId="5633" xr:uid="{00000000-0005-0000-0000-0000590F0000}"/>
    <cellStyle name="Migliaia 58 3 3 2 3" xfId="6555" xr:uid="{00000000-0005-0000-0000-00005A0F0000}"/>
    <cellStyle name="Migliaia 58 3 3 3" xfId="5252" xr:uid="{00000000-0005-0000-0000-00005B0F0000}"/>
    <cellStyle name="Migliaia 58 3 3 4" xfId="6164" xr:uid="{00000000-0005-0000-0000-00005C0F0000}"/>
    <cellStyle name="Migliaia 58 3 4" xfId="2572" xr:uid="{00000000-0005-0000-0000-00005D0F0000}"/>
    <cellStyle name="Migliaia 58 3 4 2" xfId="5632" xr:uid="{00000000-0005-0000-0000-00005E0F0000}"/>
    <cellStyle name="Migliaia 58 3 4 3" xfId="6554" xr:uid="{00000000-0005-0000-0000-00005F0F0000}"/>
    <cellStyle name="Migliaia 58 3 5" xfId="5250" xr:uid="{00000000-0005-0000-0000-0000600F0000}"/>
    <cellStyle name="Migliaia 58 3 6" xfId="6162" xr:uid="{00000000-0005-0000-0000-0000610F0000}"/>
    <cellStyle name="Migliaia 58 4" xfId="915" xr:uid="{00000000-0005-0000-0000-0000620F0000}"/>
    <cellStyle name="Migliaia 58 4 2" xfId="916" xr:uid="{00000000-0005-0000-0000-0000630F0000}"/>
    <cellStyle name="Migliaia 58 4 2 2" xfId="2575" xr:uid="{00000000-0005-0000-0000-0000640F0000}"/>
    <cellStyle name="Migliaia 58 4 2 2 2" xfId="5635" xr:uid="{00000000-0005-0000-0000-0000650F0000}"/>
    <cellStyle name="Migliaia 58 4 2 2 3" xfId="6557" xr:uid="{00000000-0005-0000-0000-0000660F0000}"/>
    <cellStyle name="Migliaia 58 4 2 3" xfId="5254" xr:uid="{00000000-0005-0000-0000-0000670F0000}"/>
    <cellStyle name="Migliaia 58 4 2 4" xfId="6166" xr:uid="{00000000-0005-0000-0000-0000680F0000}"/>
    <cellStyle name="Migliaia 58 4 3" xfId="2574" xr:uid="{00000000-0005-0000-0000-0000690F0000}"/>
    <cellStyle name="Migliaia 58 4 3 2" xfId="5634" xr:uid="{00000000-0005-0000-0000-00006A0F0000}"/>
    <cellStyle name="Migliaia 58 4 3 3" xfId="6556" xr:uid="{00000000-0005-0000-0000-00006B0F0000}"/>
    <cellStyle name="Migliaia 58 4 4" xfId="5253" xr:uid="{00000000-0005-0000-0000-00006C0F0000}"/>
    <cellStyle name="Migliaia 58 4 5" xfId="6165" xr:uid="{00000000-0005-0000-0000-00006D0F0000}"/>
    <cellStyle name="Migliaia 58 5" xfId="917" xr:uid="{00000000-0005-0000-0000-00006E0F0000}"/>
    <cellStyle name="Migliaia 58 5 2" xfId="5255" xr:uid="{00000000-0005-0000-0000-00006F0F0000}"/>
    <cellStyle name="Migliaia 58 5 3" xfId="6167" xr:uid="{00000000-0005-0000-0000-0000700F0000}"/>
    <cellStyle name="Migliaia 58 6" xfId="4852" xr:uid="{00000000-0005-0000-0000-0000710F0000}"/>
    <cellStyle name="Migliaia 58 7" xfId="6160" xr:uid="{00000000-0005-0000-0000-0000720F0000}"/>
    <cellStyle name="Migliaia 59" xfId="918" xr:uid="{00000000-0005-0000-0000-0000730F0000}"/>
    <cellStyle name="Migliaia 59 2" xfId="919" xr:uid="{00000000-0005-0000-0000-0000740F0000}"/>
    <cellStyle name="Migliaia 59 2 2" xfId="2576" xr:uid="{00000000-0005-0000-0000-0000750F0000}"/>
    <cellStyle name="Migliaia 59 2 2 2" xfId="5636" xr:uid="{00000000-0005-0000-0000-0000760F0000}"/>
    <cellStyle name="Migliaia 59 2 2 3" xfId="6558" xr:uid="{00000000-0005-0000-0000-0000770F0000}"/>
    <cellStyle name="Migliaia 59 2 3" xfId="4917" xr:uid="{00000000-0005-0000-0000-0000780F0000}"/>
    <cellStyle name="Migliaia 59 2 4" xfId="6169" xr:uid="{00000000-0005-0000-0000-0000790F0000}"/>
    <cellStyle name="Migliaia 59 3" xfId="920" xr:uid="{00000000-0005-0000-0000-00007A0F0000}"/>
    <cellStyle name="Migliaia 59 3 2" xfId="921" xr:uid="{00000000-0005-0000-0000-00007B0F0000}"/>
    <cellStyle name="Migliaia 59 3 2 2" xfId="5257" xr:uid="{00000000-0005-0000-0000-00007C0F0000}"/>
    <cellStyle name="Migliaia 59 3 2 3" xfId="6171" xr:uid="{00000000-0005-0000-0000-00007D0F0000}"/>
    <cellStyle name="Migliaia 59 3 3" xfId="922" xr:uid="{00000000-0005-0000-0000-00007E0F0000}"/>
    <cellStyle name="Migliaia 59 3 3 2" xfId="2578" xr:uid="{00000000-0005-0000-0000-00007F0F0000}"/>
    <cellStyle name="Migliaia 59 3 3 2 2" xfId="5638" xr:uid="{00000000-0005-0000-0000-0000800F0000}"/>
    <cellStyle name="Migliaia 59 3 3 2 3" xfId="6560" xr:uid="{00000000-0005-0000-0000-0000810F0000}"/>
    <cellStyle name="Migliaia 59 3 3 3" xfId="5258" xr:uid="{00000000-0005-0000-0000-0000820F0000}"/>
    <cellStyle name="Migliaia 59 3 3 4" xfId="6172" xr:uid="{00000000-0005-0000-0000-0000830F0000}"/>
    <cellStyle name="Migliaia 59 3 4" xfId="2577" xr:uid="{00000000-0005-0000-0000-0000840F0000}"/>
    <cellStyle name="Migliaia 59 3 4 2" xfId="5637" xr:uid="{00000000-0005-0000-0000-0000850F0000}"/>
    <cellStyle name="Migliaia 59 3 4 3" xfId="6559" xr:uid="{00000000-0005-0000-0000-0000860F0000}"/>
    <cellStyle name="Migliaia 59 3 5" xfId="5256" xr:uid="{00000000-0005-0000-0000-0000870F0000}"/>
    <cellStyle name="Migliaia 59 3 6" xfId="6170" xr:uid="{00000000-0005-0000-0000-0000880F0000}"/>
    <cellStyle name="Migliaia 59 4" xfId="923" xr:uid="{00000000-0005-0000-0000-0000890F0000}"/>
    <cellStyle name="Migliaia 59 4 2" xfId="924" xr:uid="{00000000-0005-0000-0000-00008A0F0000}"/>
    <cellStyle name="Migliaia 59 4 2 2" xfId="2580" xr:uid="{00000000-0005-0000-0000-00008B0F0000}"/>
    <cellStyle name="Migliaia 59 4 2 2 2" xfId="5640" xr:uid="{00000000-0005-0000-0000-00008C0F0000}"/>
    <cellStyle name="Migliaia 59 4 2 2 3" xfId="6562" xr:uid="{00000000-0005-0000-0000-00008D0F0000}"/>
    <cellStyle name="Migliaia 59 4 2 3" xfId="5260" xr:uid="{00000000-0005-0000-0000-00008E0F0000}"/>
    <cellStyle name="Migliaia 59 4 2 4" xfId="6174" xr:uid="{00000000-0005-0000-0000-00008F0F0000}"/>
    <cellStyle name="Migliaia 59 4 3" xfId="2579" xr:uid="{00000000-0005-0000-0000-0000900F0000}"/>
    <cellStyle name="Migliaia 59 4 3 2" xfId="5639" xr:uid="{00000000-0005-0000-0000-0000910F0000}"/>
    <cellStyle name="Migliaia 59 4 3 3" xfId="6561" xr:uid="{00000000-0005-0000-0000-0000920F0000}"/>
    <cellStyle name="Migliaia 59 4 4" xfId="5259" xr:uid="{00000000-0005-0000-0000-0000930F0000}"/>
    <cellStyle name="Migliaia 59 4 5" xfId="6173" xr:uid="{00000000-0005-0000-0000-0000940F0000}"/>
    <cellStyle name="Migliaia 59 5" xfId="925" xr:uid="{00000000-0005-0000-0000-0000950F0000}"/>
    <cellStyle name="Migliaia 59 5 2" xfId="5261" xr:uid="{00000000-0005-0000-0000-0000960F0000}"/>
    <cellStyle name="Migliaia 59 5 3" xfId="6175" xr:uid="{00000000-0005-0000-0000-0000970F0000}"/>
    <cellStyle name="Migliaia 59 6" xfId="4853" xr:uid="{00000000-0005-0000-0000-0000980F0000}"/>
    <cellStyle name="Migliaia 59 7" xfId="6168" xr:uid="{00000000-0005-0000-0000-0000990F0000}"/>
    <cellStyle name="Migliaia 6" xfId="926" xr:uid="{00000000-0005-0000-0000-00009A0F0000}"/>
    <cellStyle name="Migliaia 6 2" xfId="927" xr:uid="{00000000-0005-0000-0000-00009B0F0000}"/>
    <cellStyle name="Migliaia 6 2 2" xfId="2581" xr:uid="{00000000-0005-0000-0000-00009C0F0000}"/>
    <cellStyle name="Migliaia 6 2 2 2" xfId="5641" xr:uid="{00000000-0005-0000-0000-00009D0F0000}"/>
    <cellStyle name="Migliaia 6 2 2 3" xfId="6563" xr:uid="{00000000-0005-0000-0000-00009E0F0000}"/>
    <cellStyle name="Migliaia 6 2 3" xfId="4918" xr:uid="{00000000-0005-0000-0000-00009F0F0000}"/>
    <cellStyle name="Migliaia 6 2 4" xfId="6177" xr:uid="{00000000-0005-0000-0000-0000A00F0000}"/>
    <cellStyle name="Migliaia 6 3" xfId="928" xr:uid="{00000000-0005-0000-0000-0000A10F0000}"/>
    <cellStyle name="Migliaia 6 3 2" xfId="929" xr:uid="{00000000-0005-0000-0000-0000A20F0000}"/>
    <cellStyle name="Migliaia 6 3 2 2" xfId="5263" xr:uid="{00000000-0005-0000-0000-0000A30F0000}"/>
    <cellStyle name="Migliaia 6 3 2 3" xfId="6179" xr:uid="{00000000-0005-0000-0000-0000A40F0000}"/>
    <cellStyle name="Migliaia 6 3 3" xfId="930" xr:uid="{00000000-0005-0000-0000-0000A50F0000}"/>
    <cellStyle name="Migliaia 6 3 3 2" xfId="2583" xr:uid="{00000000-0005-0000-0000-0000A60F0000}"/>
    <cellStyle name="Migliaia 6 3 3 2 2" xfId="5643" xr:uid="{00000000-0005-0000-0000-0000A70F0000}"/>
    <cellStyle name="Migliaia 6 3 3 2 3" xfId="6565" xr:uid="{00000000-0005-0000-0000-0000A80F0000}"/>
    <cellStyle name="Migliaia 6 3 3 3" xfId="5264" xr:uid="{00000000-0005-0000-0000-0000A90F0000}"/>
    <cellStyle name="Migliaia 6 3 3 4" xfId="6180" xr:uid="{00000000-0005-0000-0000-0000AA0F0000}"/>
    <cellStyle name="Migliaia 6 3 4" xfId="2582" xr:uid="{00000000-0005-0000-0000-0000AB0F0000}"/>
    <cellStyle name="Migliaia 6 3 4 2" xfId="5642" xr:uid="{00000000-0005-0000-0000-0000AC0F0000}"/>
    <cellStyle name="Migliaia 6 3 4 3" xfId="6564" xr:uid="{00000000-0005-0000-0000-0000AD0F0000}"/>
    <cellStyle name="Migliaia 6 3 5" xfId="5262" xr:uid="{00000000-0005-0000-0000-0000AE0F0000}"/>
    <cellStyle name="Migliaia 6 3 6" xfId="6178" xr:uid="{00000000-0005-0000-0000-0000AF0F0000}"/>
    <cellStyle name="Migliaia 6 4" xfId="931" xr:uid="{00000000-0005-0000-0000-0000B00F0000}"/>
    <cellStyle name="Migliaia 6 4 2" xfId="932" xr:uid="{00000000-0005-0000-0000-0000B10F0000}"/>
    <cellStyle name="Migliaia 6 4 2 2" xfId="2585" xr:uid="{00000000-0005-0000-0000-0000B20F0000}"/>
    <cellStyle name="Migliaia 6 4 2 2 2" xfId="5645" xr:uid="{00000000-0005-0000-0000-0000B30F0000}"/>
    <cellStyle name="Migliaia 6 4 2 2 3" xfId="6567" xr:uid="{00000000-0005-0000-0000-0000B40F0000}"/>
    <cellStyle name="Migliaia 6 4 2 3" xfId="5266" xr:uid="{00000000-0005-0000-0000-0000B50F0000}"/>
    <cellStyle name="Migliaia 6 4 2 4" xfId="6182" xr:uid="{00000000-0005-0000-0000-0000B60F0000}"/>
    <cellStyle name="Migliaia 6 4 3" xfId="2584" xr:uid="{00000000-0005-0000-0000-0000B70F0000}"/>
    <cellStyle name="Migliaia 6 4 3 2" xfId="5644" xr:uid="{00000000-0005-0000-0000-0000B80F0000}"/>
    <cellStyle name="Migliaia 6 4 3 3" xfId="6566" xr:uid="{00000000-0005-0000-0000-0000B90F0000}"/>
    <cellStyle name="Migliaia 6 4 4" xfId="5265" xr:uid="{00000000-0005-0000-0000-0000BA0F0000}"/>
    <cellStyle name="Migliaia 6 4 5" xfId="6181" xr:uid="{00000000-0005-0000-0000-0000BB0F0000}"/>
    <cellStyle name="Migliaia 6 5" xfId="933" xr:uid="{00000000-0005-0000-0000-0000BC0F0000}"/>
    <cellStyle name="Migliaia 6 5 2" xfId="5267" xr:uid="{00000000-0005-0000-0000-0000BD0F0000}"/>
    <cellStyle name="Migliaia 6 5 3" xfId="6183" xr:uid="{00000000-0005-0000-0000-0000BE0F0000}"/>
    <cellStyle name="Migliaia 6 6" xfId="4854" xr:uid="{00000000-0005-0000-0000-0000BF0F0000}"/>
    <cellStyle name="Migliaia 6 7" xfId="6176" xr:uid="{00000000-0005-0000-0000-0000C00F0000}"/>
    <cellStyle name="Migliaia 60" xfId="934" xr:uid="{00000000-0005-0000-0000-0000C10F0000}"/>
    <cellStyle name="Migliaia 60 2" xfId="935" xr:uid="{00000000-0005-0000-0000-0000C20F0000}"/>
    <cellStyle name="Migliaia 60 2 2" xfId="2586" xr:uid="{00000000-0005-0000-0000-0000C30F0000}"/>
    <cellStyle name="Migliaia 60 2 2 2" xfId="5646" xr:uid="{00000000-0005-0000-0000-0000C40F0000}"/>
    <cellStyle name="Migliaia 60 2 2 3" xfId="6568" xr:uid="{00000000-0005-0000-0000-0000C50F0000}"/>
    <cellStyle name="Migliaia 60 2 3" xfId="4919" xr:uid="{00000000-0005-0000-0000-0000C60F0000}"/>
    <cellStyle name="Migliaia 60 2 4" xfId="6185" xr:uid="{00000000-0005-0000-0000-0000C70F0000}"/>
    <cellStyle name="Migliaia 60 3" xfId="936" xr:uid="{00000000-0005-0000-0000-0000C80F0000}"/>
    <cellStyle name="Migliaia 60 3 2" xfId="937" xr:uid="{00000000-0005-0000-0000-0000C90F0000}"/>
    <cellStyle name="Migliaia 60 3 2 2" xfId="5269" xr:uid="{00000000-0005-0000-0000-0000CA0F0000}"/>
    <cellStyle name="Migliaia 60 3 2 3" xfId="6187" xr:uid="{00000000-0005-0000-0000-0000CB0F0000}"/>
    <cellStyle name="Migliaia 60 3 3" xfId="938" xr:uid="{00000000-0005-0000-0000-0000CC0F0000}"/>
    <cellStyle name="Migliaia 60 3 3 2" xfId="2588" xr:uid="{00000000-0005-0000-0000-0000CD0F0000}"/>
    <cellStyle name="Migliaia 60 3 3 2 2" xfId="5648" xr:uid="{00000000-0005-0000-0000-0000CE0F0000}"/>
    <cellStyle name="Migliaia 60 3 3 2 3" xfId="6570" xr:uid="{00000000-0005-0000-0000-0000CF0F0000}"/>
    <cellStyle name="Migliaia 60 3 3 3" xfId="5270" xr:uid="{00000000-0005-0000-0000-0000D00F0000}"/>
    <cellStyle name="Migliaia 60 3 3 4" xfId="6188" xr:uid="{00000000-0005-0000-0000-0000D10F0000}"/>
    <cellStyle name="Migliaia 60 3 4" xfId="2587" xr:uid="{00000000-0005-0000-0000-0000D20F0000}"/>
    <cellStyle name="Migliaia 60 3 4 2" xfId="5647" xr:uid="{00000000-0005-0000-0000-0000D30F0000}"/>
    <cellStyle name="Migliaia 60 3 4 3" xfId="6569" xr:uid="{00000000-0005-0000-0000-0000D40F0000}"/>
    <cellStyle name="Migliaia 60 3 5" xfId="5268" xr:uid="{00000000-0005-0000-0000-0000D50F0000}"/>
    <cellStyle name="Migliaia 60 3 6" xfId="6186" xr:uid="{00000000-0005-0000-0000-0000D60F0000}"/>
    <cellStyle name="Migliaia 60 4" xfId="939" xr:uid="{00000000-0005-0000-0000-0000D70F0000}"/>
    <cellStyle name="Migliaia 60 4 2" xfId="940" xr:uid="{00000000-0005-0000-0000-0000D80F0000}"/>
    <cellStyle name="Migliaia 60 4 2 2" xfId="2590" xr:uid="{00000000-0005-0000-0000-0000D90F0000}"/>
    <cellStyle name="Migliaia 60 4 2 2 2" xfId="5650" xr:uid="{00000000-0005-0000-0000-0000DA0F0000}"/>
    <cellStyle name="Migliaia 60 4 2 2 3" xfId="6572" xr:uid="{00000000-0005-0000-0000-0000DB0F0000}"/>
    <cellStyle name="Migliaia 60 4 2 3" xfId="5272" xr:uid="{00000000-0005-0000-0000-0000DC0F0000}"/>
    <cellStyle name="Migliaia 60 4 2 4" xfId="6190" xr:uid="{00000000-0005-0000-0000-0000DD0F0000}"/>
    <cellStyle name="Migliaia 60 4 3" xfId="2589" xr:uid="{00000000-0005-0000-0000-0000DE0F0000}"/>
    <cellStyle name="Migliaia 60 4 3 2" xfId="5649" xr:uid="{00000000-0005-0000-0000-0000DF0F0000}"/>
    <cellStyle name="Migliaia 60 4 3 3" xfId="6571" xr:uid="{00000000-0005-0000-0000-0000E00F0000}"/>
    <cellStyle name="Migliaia 60 4 4" xfId="5271" xr:uid="{00000000-0005-0000-0000-0000E10F0000}"/>
    <cellStyle name="Migliaia 60 4 5" xfId="6189" xr:uid="{00000000-0005-0000-0000-0000E20F0000}"/>
    <cellStyle name="Migliaia 60 5" xfId="941" xr:uid="{00000000-0005-0000-0000-0000E30F0000}"/>
    <cellStyle name="Migliaia 60 5 2" xfId="5273" xr:uid="{00000000-0005-0000-0000-0000E40F0000}"/>
    <cellStyle name="Migliaia 60 5 3" xfId="6191" xr:uid="{00000000-0005-0000-0000-0000E50F0000}"/>
    <cellStyle name="Migliaia 60 6" xfId="4855" xr:uid="{00000000-0005-0000-0000-0000E60F0000}"/>
    <cellStyle name="Migliaia 60 7" xfId="6184" xr:uid="{00000000-0005-0000-0000-0000E70F0000}"/>
    <cellStyle name="Migliaia 61" xfId="942" xr:uid="{00000000-0005-0000-0000-0000E80F0000}"/>
    <cellStyle name="Migliaia 61 2" xfId="943" xr:uid="{00000000-0005-0000-0000-0000E90F0000}"/>
    <cellStyle name="Migliaia 61 2 2" xfId="2591" xr:uid="{00000000-0005-0000-0000-0000EA0F0000}"/>
    <cellStyle name="Migliaia 61 2 2 2" xfId="5651" xr:uid="{00000000-0005-0000-0000-0000EB0F0000}"/>
    <cellStyle name="Migliaia 61 2 2 3" xfId="6573" xr:uid="{00000000-0005-0000-0000-0000EC0F0000}"/>
    <cellStyle name="Migliaia 61 2 3" xfId="4920" xr:uid="{00000000-0005-0000-0000-0000ED0F0000}"/>
    <cellStyle name="Migliaia 61 2 4" xfId="6193" xr:uid="{00000000-0005-0000-0000-0000EE0F0000}"/>
    <cellStyle name="Migliaia 61 3" xfId="944" xr:uid="{00000000-0005-0000-0000-0000EF0F0000}"/>
    <cellStyle name="Migliaia 61 3 2" xfId="945" xr:uid="{00000000-0005-0000-0000-0000F00F0000}"/>
    <cellStyle name="Migliaia 61 3 2 2" xfId="5275" xr:uid="{00000000-0005-0000-0000-0000F10F0000}"/>
    <cellStyle name="Migliaia 61 3 2 3" xfId="6195" xr:uid="{00000000-0005-0000-0000-0000F20F0000}"/>
    <cellStyle name="Migliaia 61 3 3" xfId="946" xr:uid="{00000000-0005-0000-0000-0000F30F0000}"/>
    <cellStyle name="Migliaia 61 3 3 2" xfId="2593" xr:uid="{00000000-0005-0000-0000-0000F40F0000}"/>
    <cellStyle name="Migliaia 61 3 3 2 2" xfId="5653" xr:uid="{00000000-0005-0000-0000-0000F50F0000}"/>
    <cellStyle name="Migliaia 61 3 3 2 3" xfId="6575" xr:uid="{00000000-0005-0000-0000-0000F60F0000}"/>
    <cellStyle name="Migliaia 61 3 3 3" xfId="5276" xr:uid="{00000000-0005-0000-0000-0000F70F0000}"/>
    <cellStyle name="Migliaia 61 3 3 4" xfId="6196" xr:uid="{00000000-0005-0000-0000-0000F80F0000}"/>
    <cellStyle name="Migliaia 61 3 4" xfId="2592" xr:uid="{00000000-0005-0000-0000-0000F90F0000}"/>
    <cellStyle name="Migliaia 61 3 4 2" xfId="5652" xr:uid="{00000000-0005-0000-0000-0000FA0F0000}"/>
    <cellStyle name="Migliaia 61 3 4 3" xfId="6574" xr:uid="{00000000-0005-0000-0000-0000FB0F0000}"/>
    <cellStyle name="Migliaia 61 3 5" xfId="5274" xr:uid="{00000000-0005-0000-0000-0000FC0F0000}"/>
    <cellStyle name="Migliaia 61 3 6" xfId="6194" xr:uid="{00000000-0005-0000-0000-0000FD0F0000}"/>
    <cellStyle name="Migliaia 61 4" xfId="947" xr:uid="{00000000-0005-0000-0000-0000FE0F0000}"/>
    <cellStyle name="Migliaia 61 4 2" xfId="948" xr:uid="{00000000-0005-0000-0000-0000FF0F0000}"/>
    <cellStyle name="Migliaia 61 4 2 2" xfId="2595" xr:uid="{00000000-0005-0000-0000-000000100000}"/>
    <cellStyle name="Migliaia 61 4 2 2 2" xfId="5655" xr:uid="{00000000-0005-0000-0000-000001100000}"/>
    <cellStyle name="Migliaia 61 4 2 2 3" xfId="6577" xr:uid="{00000000-0005-0000-0000-000002100000}"/>
    <cellStyle name="Migliaia 61 4 2 3" xfId="5278" xr:uid="{00000000-0005-0000-0000-000003100000}"/>
    <cellStyle name="Migliaia 61 4 2 4" xfId="6198" xr:uid="{00000000-0005-0000-0000-000004100000}"/>
    <cellStyle name="Migliaia 61 4 3" xfId="2594" xr:uid="{00000000-0005-0000-0000-000005100000}"/>
    <cellStyle name="Migliaia 61 4 3 2" xfId="5654" xr:uid="{00000000-0005-0000-0000-000006100000}"/>
    <cellStyle name="Migliaia 61 4 3 3" xfId="6576" xr:uid="{00000000-0005-0000-0000-000007100000}"/>
    <cellStyle name="Migliaia 61 4 4" xfId="5277" xr:uid="{00000000-0005-0000-0000-000008100000}"/>
    <cellStyle name="Migliaia 61 4 5" xfId="6197" xr:uid="{00000000-0005-0000-0000-000009100000}"/>
    <cellStyle name="Migliaia 61 5" xfId="949" xr:uid="{00000000-0005-0000-0000-00000A100000}"/>
    <cellStyle name="Migliaia 61 5 2" xfId="5279" xr:uid="{00000000-0005-0000-0000-00000B100000}"/>
    <cellStyle name="Migliaia 61 5 3" xfId="6199" xr:uid="{00000000-0005-0000-0000-00000C100000}"/>
    <cellStyle name="Migliaia 61 6" xfId="4856" xr:uid="{00000000-0005-0000-0000-00000D100000}"/>
    <cellStyle name="Migliaia 61 7" xfId="6192" xr:uid="{00000000-0005-0000-0000-00000E100000}"/>
    <cellStyle name="Migliaia 7" xfId="950" xr:uid="{00000000-0005-0000-0000-00000F100000}"/>
    <cellStyle name="Migliaia 7 2" xfId="951" xr:uid="{00000000-0005-0000-0000-000010100000}"/>
    <cellStyle name="Migliaia 7 2 2" xfId="2596" xr:uid="{00000000-0005-0000-0000-000011100000}"/>
    <cellStyle name="Migliaia 7 2 2 2" xfId="5656" xr:uid="{00000000-0005-0000-0000-000012100000}"/>
    <cellStyle name="Migliaia 7 2 2 3" xfId="6578" xr:uid="{00000000-0005-0000-0000-000013100000}"/>
    <cellStyle name="Migliaia 7 2 3" xfId="4921" xr:uid="{00000000-0005-0000-0000-000014100000}"/>
    <cellStyle name="Migliaia 7 2 4" xfId="6201" xr:uid="{00000000-0005-0000-0000-000015100000}"/>
    <cellStyle name="Migliaia 7 3" xfId="952" xr:uid="{00000000-0005-0000-0000-000016100000}"/>
    <cellStyle name="Migliaia 7 3 2" xfId="953" xr:uid="{00000000-0005-0000-0000-000017100000}"/>
    <cellStyle name="Migliaia 7 3 2 2" xfId="5281" xr:uid="{00000000-0005-0000-0000-000018100000}"/>
    <cellStyle name="Migliaia 7 3 2 3" xfId="6203" xr:uid="{00000000-0005-0000-0000-000019100000}"/>
    <cellStyle name="Migliaia 7 3 3" xfId="954" xr:uid="{00000000-0005-0000-0000-00001A100000}"/>
    <cellStyle name="Migliaia 7 3 3 2" xfId="2598" xr:uid="{00000000-0005-0000-0000-00001B100000}"/>
    <cellStyle name="Migliaia 7 3 3 2 2" xfId="5658" xr:uid="{00000000-0005-0000-0000-00001C100000}"/>
    <cellStyle name="Migliaia 7 3 3 2 3" xfId="6580" xr:uid="{00000000-0005-0000-0000-00001D100000}"/>
    <cellStyle name="Migliaia 7 3 3 3" xfId="5282" xr:uid="{00000000-0005-0000-0000-00001E100000}"/>
    <cellStyle name="Migliaia 7 3 3 4" xfId="6204" xr:uid="{00000000-0005-0000-0000-00001F100000}"/>
    <cellStyle name="Migliaia 7 3 4" xfId="2597" xr:uid="{00000000-0005-0000-0000-000020100000}"/>
    <cellStyle name="Migliaia 7 3 4 2" xfId="5657" xr:uid="{00000000-0005-0000-0000-000021100000}"/>
    <cellStyle name="Migliaia 7 3 4 3" xfId="6579" xr:uid="{00000000-0005-0000-0000-000022100000}"/>
    <cellStyle name="Migliaia 7 3 5" xfId="5280" xr:uid="{00000000-0005-0000-0000-000023100000}"/>
    <cellStyle name="Migliaia 7 3 6" xfId="6202" xr:uid="{00000000-0005-0000-0000-000024100000}"/>
    <cellStyle name="Migliaia 7 4" xfId="955" xr:uid="{00000000-0005-0000-0000-000025100000}"/>
    <cellStyle name="Migliaia 7 4 2" xfId="956" xr:uid="{00000000-0005-0000-0000-000026100000}"/>
    <cellStyle name="Migliaia 7 4 2 2" xfId="2600" xr:uid="{00000000-0005-0000-0000-000027100000}"/>
    <cellStyle name="Migliaia 7 4 2 2 2" xfId="5660" xr:uid="{00000000-0005-0000-0000-000028100000}"/>
    <cellStyle name="Migliaia 7 4 2 2 3" xfId="6582" xr:uid="{00000000-0005-0000-0000-000029100000}"/>
    <cellStyle name="Migliaia 7 4 2 3" xfId="5284" xr:uid="{00000000-0005-0000-0000-00002A100000}"/>
    <cellStyle name="Migliaia 7 4 2 4" xfId="6206" xr:uid="{00000000-0005-0000-0000-00002B100000}"/>
    <cellStyle name="Migliaia 7 4 3" xfId="2599" xr:uid="{00000000-0005-0000-0000-00002C100000}"/>
    <cellStyle name="Migliaia 7 4 3 2" xfId="5659" xr:uid="{00000000-0005-0000-0000-00002D100000}"/>
    <cellStyle name="Migliaia 7 4 3 3" xfId="6581" xr:uid="{00000000-0005-0000-0000-00002E100000}"/>
    <cellStyle name="Migliaia 7 4 4" xfId="5283" xr:uid="{00000000-0005-0000-0000-00002F100000}"/>
    <cellStyle name="Migliaia 7 4 5" xfId="6205" xr:uid="{00000000-0005-0000-0000-000030100000}"/>
    <cellStyle name="Migliaia 7 5" xfId="957" xr:uid="{00000000-0005-0000-0000-000031100000}"/>
    <cellStyle name="Migliaia 7 5 2" xfId="5285" xr:uid="{00000000-0005-0000-0000-000032100000}"/>
    <cellStyle name="Migliaia 7 5 3" xfId="6207" xr:uid="{00000000-0005-0000-0000-000033100000}"/>
    <cellStyle name="Migliaia 7 6" xfId="4857" xr:uid="{00000000-0005-0000-0000-000034100000}"/>
    <cellStyle name="Migliaia 7 7" xfId="6200" xr:uid="{00000000-0005-0000-0000-000035100000}"/>
    <cellStyle name="Migliaia 8" xfId="958" xr:uid="{00000000-0005-0000-0000-000036100000}"/>
    <cellStyle name="Migliaia 8 2" xfId="959" xr:uid="{00000000-0005-0000-0000-000037100000}"/>
    <cellStyle name="Migliaia 8 2 2" xfId="2601" xr:uid="{00000000-0005-0000-0000-000038100000}"/>
    <cellStyle name="Migliaia 8 2 2 2" xfId="5661" xr:uid="{00000000-0005-0000-0000-000039100000}"/>
    <cellStyle name="Migliaia 8 2 2 3" xfId="6583" xr:uid="{00000000-0005-0000-0000-00003A100000}"/>
    <cellStyle name="Migliaia 8 2 3" xfId="4922" xr:uid="{00000000-0005-0000-0000-00003B100000}"/>
    <cellStyle name="Migliaia 8 2 4" xfId="6209" xr:uid="{00000000-0005-0000-0000-00003C100000}"/>
    <cellStyle name="Migliaia 8 3" xfId="960" xr:uid="{00000000-0005-0000-0000-00003D100000}"/>
    <cellStyle name="Migliaia 8 3 2" xfId="961" xr:uid="{00000000-0005-0000-0000-00003E100000}"/>
    <cellStyle name="Migliaia 8 3 2 2" xfId="5287" xr:uid="{00000000-0005-0000-0000-00003F100000}"/>
    <cellStyle name="Migliaia 8 3 2 3" xfId="6211" xr:uid="{00000000-0005-0000-0000-000040100000}"/>
    <cellStyle name="Migliaia 8 3 3" xfId="962" xr:uid="{00000000-0005-0000-0000-000041100000}"/>
    <cellStyle name="Migliaia 8 3 3 2" xfId="2603" xr:uid="{00000000-0005-0000-0000-000042100000}"/>
    <cellStyle name="Migliaia 8 3 3 2 2" xfId="5663" xr:uid="{00000000-0005-0000-0000-000043100000}"/>
    <cellStyle name="Migliaia 8 3 3 2 3" xfId="6585" xr:uid="{00000000-0005-0000-0000-000044100000}"/>
    <cellStyle name="Migliaia 8 3 3 3" xfId="5288" xr:uid="{00000000-0005-0000-0000-000045100000}"/>
    <cellStyle name="Migliaia 8 3 3 4" xfId="6212" xr:uid="{00000000-0005-0000-0000-000046100000}"/>
    <cellStyle name="Migliaia 8 3 4" xfId="2602" xr:uid="{00000000-0005-0000-0000-000047100000}"/>
    <cellStyle name="Migliaia 8 3 4 2" xfId="5662" xr:uid="{00000000-0005-0000-0000-000048100000}"/>
    <cellStyle name="Migliaia 8 3 4 3" xfId="6584" xr:uid="{00000000-0005-0000-0000-000049100000}"/>
    <cellStyle name="Migliaia 8 3 5" xfId="5286" xr:uid="{00000000-0005-0000-0000-00004A100000}"/>
    <cellStyle name="Migliaia 8 3 6" xfId="6210" xr:uid="{00000000-0005-0000-0000-00004B100000}"/>
    <cellStyle name="Migliaia 8 4" xfId="963" xr:uid="{00000000-0005-0000-0000-00004C100000}"/>
    <cellStyle name="Migliaia 8 4 2" xfId="964" xr:uid="{00000000-0005-0000-0000-00004D100000}"/>
    <cellStyle name="Migliaia 8 4 2 2" xfId="2605" xr:uid="{00000000-0005-0000-0000-00004E100000}"/>
    <cellStyle name="Migliaia 8 4 2 2 2" xfId="5665" xr:uid="{00000000-0005-0000-0000-00004F100000}"/>
    <cellStyle name="Migliaia 8 4 2 2 3" xfId="6587" xr:uid="{00000000-0005-0000-0000-000050100000}"/>
    <cellStyle name="Migliaia 8 4 2 3" xfId="5290" xr:uid="{00000000-0005-0000-0000-000051100000}"/>
    <cellStyle name="Migliaia 8 4 2 4" xfId="6214" xr:uid="{00000000-0005-0000-0000-000052100000}"/>
    <cellStyle name="Migliaia 8 4 3" xfId="2604" xr:uid="{00000000-0005-0000-0000-000053100000}"/>
    <cellStyle name="Migliaia 8 4 3 2" xfId="5664" xr:uid="{00000000-0005-0000-0000-000054100000}"/>
    <cellStyle name="Migliaia 8 4 3 3" xfId="6586" xr:uid="{00000000-0005-0000-0000-000055100000}"/>
    <cellStyle name="Migliaia 8 4 4" xfId="5289" xr:uid="{00000000-0005-0000-0000-000056100000}"/>
    <cellStyle name="Migliaia 8 4 5" xfId="6213" xr:uid="{00000000-0005-0000-0000-000057100000}"/>
    <cellStyle name="Migliaia 8 5" xfId="965" xr:uid="{00000000-0005-0000-0000-000058100000}"/>
    <cellStyle name="Migliaia 8 5 2" xfId="5291" xr:uid="{00000000-0005-0000-0000-000059100000}"/>
    <cellStyle name="Migliaia 8 5 3" xfId="6215" xr:uid="{00000000-0005-0000-0000-00005A100000}"/>
    <cellStyle name="Migliaia 8 6" xfId="4858" xr:uid="{00000000-0005-0000-0000-00005B100000}"/>
    <cellStyle name="Migliaia 8 7" xfId="6208" xr:uid="{00000000-0005-0000-0000-00005C100000}"/>
    <cellStyle name="Migliaia 9" xfId="966" xr:uid="{00000000-0005-0000-0000-00005D100000}"/>
    <cellStyle name="Migliaia 9 2" xfId="967" xr:uid="{00000000-0005-0000-0000-00005E100000}"/>
    <cellStyle name="Migliaia 9 2 2" xfId="2606" xr:uid="{00000000-0005-0000-0000-00005F100000}"/>
    <cellStyle name="Migliaia 9 2 2 2" xfId="5666" xr:uid="{00000000-0005-0000-0000-000060100000}"/>
    <cellStyle name="Migliaia 9 2 2 3" xfId="6588" xr:uid="{00000000-0005-0000-0000-000061100000}"/>
    <cellStyle name="Migliaia 9 2 3" xfId="4923" xr:uid="{00000000-0005-0000-0000-000062100000}"/>
    <cellStyle name="Migliaia 9 2 4" xfId="6217" xr:uid="{00000000-0005-0000-0000-000063100000}"/>
    <cellStyle name="Migliaia 9 3" xfId="968" xr:uid="{00000000-0005-0000-0000-000064100000}"/>
    <cellStyle name="Migliaia 9 3 2" xfId="969" xr:uid="{00000000-0005-0000-0000-000065100000}"/>
    <cellStyle name="Migliaia 9 3 2 2" xfId="5293" xr:uid="{00000000-0005-0000-0000-000066100000}"/>
    <cellStyle name="Migliaia 9 3 2 3" xfId="6219" xr:uid="{00000000-0005-0000-0000-000067100000}"/>
    <cellStyle name="Migliaia 9 3 3" xfId="970" xr:uid="{00000000-0005-0000-0000-000068100000}"/>
    <cellStyle name="Migliaia 9 3 3 2" xfId="2608" xr:uid="{00000000-0005-0000-0000-000069100000}"/>
    <cellStyle name="Migliaia 9 3 3 2 2" xfId="5668" xr:uid="{00000000-0005-0000-0000-00006A100000}"/>
    <cellStyle name="Migliaia 9 3 3 2 3" xfId="6590" xr:uid="{00000000-0005-0000-0000-00006B100000}"/>
    <cellStyle name="Migliaia 9 3 3 3" xfId="5294" xr:uid="{00000000-0005-0000-0000-00006C100000}"/>
    <cellStyle name="Migliaia 9 3 3 4" xfId="6220" xr:uid="{00000000-0005-0000-0000-00006D100000}"/>
    <cellStyle name="Migliaia 9 3 4" xfId="2607" xr:uid="{00000000-0005-0000-0000-00006E100000}"/>
    <cellStyle name="Migliaia 9 3 4 2" xfId="5667" xr:uid="{00000000-0005-0000-0000-00006F100000}"/>
    <cellStyle name="Migliaia 9 3 4 3" xfId="6589" xr:uid="{00000000-0005-0000-0000-000070100000}"/>
    <cellStyle name="Migliaia 9 3 5" xfId="5292" xr:uid="{00000000-0005-0000-0000-000071100000}"/>
    <cellStyle name="Migliaia 9 3 6" xfId="6218" xr:uid="{00000000-0005-0000-0000-000072100000}"/>
    <cellStyle name="Migliaia 9 4" xfId="971" xr:uid="{00000000-0005-0000-0000-000073100000}"/>
    <cellStyle name="Migliaia 9 4 2" xfId="972" xr:uid="{00000000-0005-0000-0000-000074100000}"/>
    <cellStyle name="Migliaia 9 4 2 2" xfId="2610" xr:uid="{00000000-0005-0000-0000-000075100000}"/>
    <cellStyle name="Migliaia 9 4 2 2 2" xfId="5670" xr:uid="{00000000-0005-0000-0000-000076100000}"/>
    <cellStyle name="Migliaia 9 4 2 2 3" xfId="6592" xr:uid="{00000000-0005-0000-0000-000077100000}"/>
    <cellStyle name="Migliaia 9 4 2 3" xfId="5296" xr:uid="{00000000-0005-0000-0000-000078100000}"/>
    <cellStyle name="Migliaia 9 4 2 4" xfId="6222" xr:uid="{00000000-0005-0000-0000-000079100000}"/>
    <cellStyle name="Migliaia 9 4 3" xfId="2609" xr:uid="{00000000-0005-0000-0000-00007A100000}"/>
    <cellStyle name="Migliaia 9 4 3 2" xfId="5669" xr:uid="{00000000-0005-0000-0000-00007B100000}"/>
    <cellStyle name="Migliaia 9 4 3 3" xfId="6591" xr:uid="{00000000-0005-0000-0000-00007C100000}"/>
    <cellStyle name="Migliaia 9 4 4" xfId="5295" xr:uid="{00000000-0005-0000-0000-00007D100000}"/>
    <cellStyle name="Migliaia 9 4 5" xfId="6221" xr:uid="{00000000-0005-0000-0000-00007E100000}"/>
    <cellStyle name="Migliaia 9 5" xfId="973" xr:uid="{00000000-0005-0000-0000-00007F100000}"/>
    <cellStyle name="Migliaia 9 5 2" xfId="5297" xr:uid="{00000000-0005-0000-0000-000080100000}"/>
    <cellStyle name="Migliaia 9 5 3" xfId="6223" xr:uid="{00000000-0005-0000-0000-000081100000}"/>
    <cellStyle name="Migliaia 9 6" xfId="4859" xr:uid="{00000000-0005-0000-0000-000082100000}"/>
    <cellStyle name="Migliaia 9 7" xfId="6216" xr:uid="{00000000-0005-0000-0000-000083100000}"/>
    <cellStyle name="Neutral" xfId="3332" builtinId="28" customBuiltin="1"/>
    <cellStyle name="Neutral 2" xfId="3446" xr:uid="{00000000-0005-0000-0000-000085100000}"/>
    <cellStyle name="Neutrale" xfId="974" xr:uid="{00000000-0005-0000-0000-000086100000}"/>
    <cellStyle name="Normal" xfId="0" builtinId="0"/>
    <cellStyle name="Normal 10" xfId="975" xr:uid="{00000000-0005-0000-0000-000088100000}"/>
    <cellStyle name="Normal 10 2" xfId="2611" xr:uid="{00000000-0005-0000-0000-000089100000}"/>
    <cellStyle name="Normal 10 2 2" xfId="3679" xr:uid="{00000000-0005-0000-0000-00008A100000}"/>
    <cellStyle name="Normal 10 2 2 2" xfId="4311" xr:uid="{00000000-0005-0000-0000-00008B100000}"/>
    <cellStyle name="Normal 10 2 2 2 2" xfId="7479" xr:uid="{00000000-0005-0000-0000-00008C100000}"/>
    <cellStyle name="Normal 10 2 2 3" xfId="6855" xr:uid="{00000000-0005-0000-0000-00008D100000}"/>
    <cellStyle name="Normal 10 2 3" xfId="3680" xr:uid="{00000000-0005-0000-0000-00008E100000}"/>
    <cellStyle name="Normal 10 2 3 2" xfId="4312" xr:uid="{00000000-0005-0000-0000-00008F100000}"/>
    <cellStyle name="Normal 10 2 3 2 2" xfId="7480" xr:uid="{00000000-0005-0000-0000-000090100000}"/>
    <cellStyle name="Normal 10 2 3 3" xfId="6856" xr:uid="{00000000-0005-0000-0000-000091100000}"/>
    <cellStyle name="Normal 10 2 4" xfId="4310" xr:uid="{00000000-0005-0000-0000-000092100000}"/>
    <cellStyle name="Normal 10 2 4 2" xfId="7478" xr:uid="{00000000-0005-0000-0000-000093100000}"/>
    <cellStyle name="Normal 10 2 5" xfId="3678" xr:uid="{00000000-0005-0000-0000-000094100000}"/>
    <cellStyle name="Normal 10 2 5 2" xfId="6854" xr:uid="{00000000-0005-0000-0000-000095100000}"/>
    <cellStyle name="Normal 10 3" xfId="3317" xr:uid="{00000000-0005-0000-0000-000096100000}"/>
    <cellStyle name="Normal 10 3 2" xfId="4313" xr:uid="{00000000-0005-0000-0000-000097100000}"/>
    <cellStyle name="Normal 10 3 2 2" xfId="7481" xr:uid="{00000000-0005-0000-0000-000098100000}"/>
    <cellStyle name="Normal 10 3 3" xfId="3681" xr:uid="{00000000-0005-0000-0000-000099100000}"/>
    <cellStyle name="Normal 10 3 3 2" xfId="6857" xr:uid="{00000000-0005-0000-0000-00009A100000}"/>
    <cellStyle name="Normal 10 4" xfId="3682" xr:uid="{00000000-0005-0000-0000-00009B100000}"/>
    <cellStyle name="Normal 10 4 2" xfId="4314" xr:uid="{00000000-0005-0000-0000-00009C100000}"/>
    <cellStyle name="Normal 10 4 2 2" xfId="7482" xr:uid="{00000000-0005-0000-0000-00009D100000}"/>
    <cellStyle name="Normal 10 4 3" xfId="6858" xr:uid="{00000000-0005-0000-0000-00009E100000}"/>
    <cellStyle name="Normal 10 5" xfId="3683" xr:uid="{00000000-0005-0000-0000-00009F100000}"/>
    <cellStyle name="Normal 10 5 2" xfId="4315" xr:uid="{00000000-0005-0000-0000-0000A0100000}"/>
    <cellStyle name="Normal 10 5 2 2" xfId="7483" xr:uid="{00000000-0005-0000-0000-0000A1100000}"/>
    <cellStyle name="Normal 10 5 3" xfId="6859" xr:uid="{00000000-0005-0000-0000-0000A2100000}"/>
    <cellStyle name="Normal 10 6" xfId="4309" xr:uid="{00000000-0005-0000-0000-0000A3100000}"/>
    <cellStyle name="Normal 10 6 2" xfId="7477" xr:uid="{00000000-0005-0000-0000-0000A4100000}"/>
    <cellStyle name="Normal 10 7" xfId="3677" xr:uid="{00000000-0005-0000-0000-0000A5100000}"/>
    <cellStyle name="Normal 10 7 2" xfId="6853" xr:uid="{00000000-0005-0000-0000-0000A6100000}"/>
    <cellStyle name="Normal 11" xfId="2005" xr:uid="{00000000-0005-0000-0000-0000A7100000}"/>
    <cellStyle name="Normal 11 10" xfId="6229" xr:uid="{00000000-0005-0000-0000-0000A8100000}"/>
    <cellStyle name="Normal 11 2" xfId="3261" xr:uid="{00000000-0005-0000-0000-0000A9100000}"/>
    <cellStyle name="Normal 11 2 2" xfId="3310" xr:uid="{00000000-0005-0000-0000-0000AA100000}"/>
    <cellStyle name="Normal 11 2 2 2" xfId="4318" xr:uid="{00000000-0005-0000-0000-0000AB100000}"/>
    <cellStyle name="Normal 11 2 2 2 2" xfId="7486" xr:uid="{00000000-0005-0000-0000-0000AC100000}"/>
    <cellStyle name="Normal 11 2 2 3" xfId="3686" xr:uid="{00000000-0005-0000-0000-0000AD100000}"/>
    <cellStyle name="Normal 11 2 2 3 2" xfId="6862" xr:uid="{00000000-0005-0000-0000-0000AE100000}"/>
    <cellStyle name="Normal 11 2 2 4" xfId="6619" xr:uid="{00000000-0005-0000-0000-0000AF100000}"/>
    <cellStyle name="Normal 11 2 3" xfId="3687" xr:uid="{00000000-0005-0000-0000-0000B0100000}"/>
    <cellStyle name="Normal 11 2 3 2" xfId="4319" xr:uid="{00000000-0005-0000-0000-0000B1100000}"/>
    <cellStyle name="Normal 11 2 3 2 2" xfId="7487" xr:uid="{00000000-0005-0000-0000-0000B2100000}"/>
    <cellStyle name="Normal 11 2 3 3" xfId="6863" xr:uid="{00000000-0005-0000-0000-0000B3100000}"/>
    <cellStyle name="Normal 11 2 4" xfId="3688" xr:uid="{00000000-0005-0000-0000-0000B4100000}"/>
    <cellStyle name="Normal 11 2 4 2" xfId="4320" xr:uid="{00000000-0005-0000-0000-0000B5100000}"/>
    <cellStyle name="Normal 11 2 4 2 2" xfId="7488" xr:uid="{00000000-0005-0000-0000-0000B6100000}"/>
    <cellStyle name="Normal 11 2 4 3" xfId="6864" xr:uid="{00000000-0005-0000-0000-0000B7100000}"/>
    <cellStyle name="Normal 11 2 5" xfId="4317" xr:uid="{00000000-0005-0000-0000-0000B8100000}"/>
    <cellStyle name="Normal 11 2 5 2" xfId="7485" xr:uid="{00000000-0005-0000-0000-0000B9100000}"/>
    <cellStyle name="Normal 11 2 6" xfId="3685" xr:uid="{00000000-0005-0000-0000-0000BA100000}"/>
    <cellStyle name="Normal 11 2 6 2" xfId="6861" xr:uid="{00000000-0005-0000-0000-0000BB100000}"/>
    <cellStyle name="Normal 11 2 7" xfId="5676" xr:uid="{00000000-0005-0000-0000-0000BC100000}"/>
    <cellStyle name="Normal 11 2 8" xfId="6598" xr:uid="{00000000-0005-0000-0000-0000BD100000}"/>
    <cellStyle name="Normal 11 3" xfId="3291" xr:uid="{00000000-0005-0000-0000-0000BE100000}"/>
    <cellStyle name="Normal 11 3 2" xfId="3690" xr:uid="{00000000-0005-0000-0000-0000BF100000}"/>
    <cellStyle name="Normal 11 3 2 2" xfId="4322" xr:uid="{00000000-0005-0000-0000-0000C0100000}"/>
    <cellStyle name="Normal 11 3 2 2 2" xfId="7490" xr:uid="{00000000-0005-0000-0000-0000C1100000}"/>
    <cellStyle name="Normal 11 3 2 3" xfId="6866" xr:uid="{00000000-0005-0000-0000-0000C2100000}"/>
    <cellStyle name="Normal 11 3 3" xfId="3691" xr:uid="{00000000-0005-0000-0000-0000C3100000}"/>
    <cellStyle name="Normal 11 3 3 2" xfId="4323" xr:uid="{00000000-0005-0000-0000-0000C4100000}"/>
    <cellStyle name="Normal 11 3 3 2 2" xfId="7491" xr:uid="{00000000-0005-0000-0000-0000C5100000}"/>
    <cellStyle name="Normal 11 3 3 3" xfId="6867" xr:uid="{00000000-0005-0000-0000-0000C6100000}"/>
    <cellStyle name="Normal 11 3 4" xfId="4321" xr:uid="{00000000-0005-0000-0000-0000C7100000}"/>
    <cellStyle name="Normal 11 3 4 2" xfId="7489" xr:uid="{00000000-0005-0000-0000-0000C8100000}"/>
    <cellStyle name="Normal 11 3 5" xfId="3689" xr:uid="{00000000-0005-0000-0000-0000C9100000}"/>
    <cellStyle name="Normal 11 3 5 2" xfId="6865" xr:uid="{00000000-0005-0000-0000-0000CA100000}"/>
    <cellStyle name="Normal 11 3 6" xfId="6609" xr:uid="{00000000-0005-0000-0000-0000CB100000}"/>
    <cellStyle name="Normal 11 4" xfId="3692" xr:uid="{00000000-0005-0000-0000-0000CC100000}"/>
    <cellStyle name="Normal 11 4 2" xfId="4324" xr:uid="{00000000-0005-0000-0000-0000CD100000}"/>
    <cellStyle name="Normal 11 4 2 2" xfId="7492" xr:uid="{00000000-0005-0000-0000-0000CE100000}"/>
    <cellStyle name="Normal 11 4 3" xfId="6868" xr:uid="{00000000-0005-0000-0000-0000CF100000}"/>
    <cellStyle name="Normal 11 5" xfId="3693" xr:uid="{00000000-0005-0000-0000-0000D0100000}"/>
    <cellStyle name="Normal 11 5 2" xfId="4325" xr:uid="{00000000-0005-0000-0000-0000D1100000}"/>
    <cellStyle name="Normal 11 5 2 2" xfId="7493" xr:uid="{00000000-0005-0000-0000-0000D2100000}"/>
    <cellStyle name="Normal 11 5 3" xfId="6869" xr:uid="{00000000-0005-0000-0000-0000D3100000}"/>
    <cellStyle name="Normal 11 6" xfId="3694" xr:uid="{00000000-0005-0000-0000-0000D4100000}"/>
    <cellStyle name="Normal 11 6 2" xfId="4326" xr:uid="{00000000-0005-0000-0000-0000D5100000}"/>
    <cellStyle name="Normal 11 6 2 2" xfId="7494" xr:uid="{00000000-0005-0000-0000-0000D6100000}"/>
    <cellStyle name="Normal 11 6 3" xfId="6870" xr:uid="{00000000-0005-0000-0000-0000D7100000}"/>
    <cellStyle name="Normal 11 7" xfId="4316" xr:uid="{00000000-0005-0000-0000-0000D8100000}"/>
    <cellStyle name="Normal 11 7 2" xfId="7484" xr:uid="{00000000-0005-0000-0000-0000D9100000}"/>
    <cellStyle name="Normal 11 8" xfId="3684" xr:uid="{00000000-0005-0000-0000-0000DA100000}"/>
    <cellStyle name="Normal 11 8 2" xfId="6860" xr:uid="{00000000-0005-0000-0000-0000DB100000}"/>
    <cellStyle name="Normal 11 9" xfId="5307" xr:uid="{00000000-0005-0000-0000-0000DC100000}"/>
    <cellStyle name="Normal 12" xfId="2007" xr:uid="{00000000-0005-0000-0000-0000DD100000}"/>
    <cellStyle name="Normal 12 2" xfId="3696" xr:uid="{00000000-0005-0000-0000-0000DE100000}"/>
    <cellStyle name="Normal 12 2 2" xfId="3697" xr:uid="{00000000-0005-0000-0000-0000DF100000}"/>
    <cellStyle name="Normal 12 2 2 2" xfId="4329" xr:uid="{00000000-0005-0000-0000-0000E0100000}"/>
    <cellStyle name="Normal 12 2 2 2 2" xfId="7497" xr:uid="{00000000-0005-0000-0000-0000E1100000}"/>
    <cellStyle name="Normal 12 2 2 3" xfId="6873" xr:uid="{00000000-0005-0000-0000-0000E2100000}"/>
    <cellStyle name="Normal 12 2 3" xfId="3698" xr:uid="{00000000-0005-0000-0000-0000E3100000}"/>
    <cellStyle name="Normal 12 2 3 2" xfId="4330" xr:uid="{00000000-0005-0000-0000-0000E4100000}"/>
    <cellStyle name="Normal 12 2 3 2 2" xfId="7498" xr:uid="{00000000-0005-0000-0000-0000E5100000}"/>
    <cellStyle name="Normal 12 2 3 3" xfId="6874" xr:uid="{00000000-0005-0000-0000-0000E6100000}"/>
    <cellStyle name="Normal 12 2 4" xfId="4328" xr:uid="{00000000-0005-0000-0000-0000E7100000}"/>
    <cellStyle name="Normal 12 2 4 2" xfId="7496" xr:uid="{00000000-0005-0000-0000-0000E8100000}"/>
    <cellStyle name="Normal 12 2 5" xfId="6872" xr:uid="{00000000-0005-0000-0000-0000E9100000}"/>
    <cellStyle name="Normal 12 3" xfId="3699" xr:uid="{00000000-0005-0000-0000-0000EA100000}"/>
    <cellStyle name="Normal 12 3 2" xfId="4331" xr:uid="{00000000-0005-0000-0000-0000EB100000}"/>
    <cellStyle name="Normal 12 3 2 2" xfId="7499" xr:uid="{00000000-0005-0000-0000-0000EC100000}"/>
    <cellStyle name="Normal 12 3 3" xfId="6875" xr:uid="{00000000-0005-0000-0000-0000ED100000}"/>
    <cellStyle name="Normal 12 4" xfId="3700" xr:uid="{00000000-0005-0000-0000-0000EE100000}"/>
    <cellStyle name="Normal 12 4 2" xfId="4332" xr:uid="{00000000-0005-0000-0000-0000EF100000}"/>
    <cellStyle name="Normal 12 4 2 2" xfId="7500" xr:uid="{00000000-0005-0000-0000-0000F0100000}"/>
    <cellStyle name="Normal 12 4 3" xfId="6876" xr:uid="{00000000-0005-0000-0000-0000F1100000}"/>
    <cellStyle name="Normal 12 5" xfId="3701" xr:uid="{00000000-0005-0000-0000-0000F2100000}"/>
    <cellStyle name="Normal 12 5 2" xfId="4333" xr:uid="{00000000-0005-0000-0000-0000F3100000}"/>
    <cellStyle name="Normal 12 5 2 2" xfId="7501" xr:uid="{00000000-0005-0000-0000-0000F4100000}"/>
    <cellStyle name="Normal 12 5 3" xfId="6877" xr:uid="{00000000-0005-0000-0000-0000F5100000}"/>
    <cellStyle name="Normal 12 6" xfId="4327" xr:uid="{00000000-0005-0000-0000-0000F6100000}"/>
    <cellStyle name="Normal 12 6 2" xfId="7495" xr:uid="{00000000-0005-0000-0000-0000F7100000}"/>
    <cellStyle name="Normal 12 7" xfId="3695" xr:uid="{00000000-0005-0000-0000-0000F8100000}"/>
    <cellStyle name="Normal 12 7 2" xfId="6871" xr:uid="{00000000-0005-0000-0000-0000F9100000}"/>
    <cellStyle name="Normal 13" xfId="3312" xr:uid="{00000000-0005-0000-0000-0000FA100000}"/>
    <cellStyle name="Normal 13 2" xfId="3703" xr:uid="{00000000-0005-0000-0000-0000FB100000}"/>
    <cellStyle name="Normal 13 2 2" xfId="3704" xr:uid="{00000000-0005-0000-0000-0000FC100000}"/>
    <cellStyle name="Normal 13 2 2 2" xfId="4336" xr:uid="{00000000-0005-0000-0000-0000FD100000}"/>
    <cellStyle name="Normal 13 2 2 2 2" xfId="7504" xr:uid="{00000000-0005-0000-0000-0000FE100000}"/>
    <cellStyle name="Normal 13 2 2 3" xfId="6880" xr:uid="{00000000-0005-0000-0000-0000FF100000}"/>
    <cellStyle name="Normal 13 2 3" xfId="3705" xr:uid="{00000000-0005-0000-0000-000000110000}"/>
    <cellStyle name="Normal 13 2 3 2" xfId="4337" xr:uid="{00000000-0005-0000-0000-000001110000}"/>
    <cellStyle name="Normal 13 2 3 2 2" xfId="7505" xr:uid="{00000000-0005-0000-0000-000002110000}"/>
    <cellStyle name="Normal 13 2 3 3" xfId="6881" xr:uid="{00000000-0005-0000-0000-000003110000}"/>
    <cellStyle name="Normal 13 2 4" xfId="4335" xr:uid="{00000000-0005-0000-0000-000004110000}"/>
    <cellStyle name="Normal 13 2 4 2" xfId="7503" xr:uid="{00000000-0005-0000-0000-000005110000}"/>
    <cellStyle name="Normal 13 2 5" xfId="6879" xr:uid="{00000000-0005-0000-0000-000006110000}"/>
    <cellStyle name="Normal 13 3" xfId="3706" xr:uid="{00000000-0005-0000-0000-000007110000}"/>
    <cellStyle name="Normal 13 3 2" xfId="4338" xr:uid="{00000000-0005-0000-0000-000008110000}"/>
    <cellStyle name="Normal 13 3 2 2" xfId="7506" xr:uid="{00000000-0005-0000-0000-000009110000}"/>
    <cellStyle name="Normal 13 3 3" xfId="6882" xr:uid="{00000000-0005-0000-0000-00000A110000}"/>
    <cellStyle name="Normal 13 4" xfId="3707" xr:uid="{00000000-0005-0000-0000-00000B110000}"/>
    <cellStyle name="Normal 13 4 2" xfId="4339" xr:uid="{00000000-0005-0000-0000-00000C110000}"/>
    <cellStyle name="Normal 13 4 2 2" xfId="7507" xr:uid="{00000000-0005-0000-0000-00000D110000}"/>
    <cellStyle name="Normal 13 4 3" xfId="6883" xr:uid="{00000000-0005-0000-0000-00000E110000}"/>
    <cellStyle name="Normal 13 5" xfId="3708" xr:uid="{00000000-0005-0000-0000-00000F110000}"/>
    <cellStyle name="Normal 13 5 2" xfId="4340" xr:uid="{00000000-0005-0000-0000-000010110000}"/>
    <cellStyle name="Normal 13 5 2 2" xfId="7508" xr:uid="{00000000-0005-0000-0000-000011110000}"/>
    <cellStyle name="Normal 13 5 3" xfId="6884" xr:uid="{00000000-0005-0000-0000-000012110000}"/>
    <cellStyle name="Normal 13 6" xfId="4334" xr:uid="{00000000-0005-0000-0000-000013110000}"/>
    <cellStyle name="Normal 13 6 2" xfId="7502" xr:uid="{00000000-0005-0000-0000-000014110000}"/>
    <cellStyle name="Normal 13 7" xfId="3702" xr:uid="{00000000-0005-0000-0000-000015110000}"/>
    <cellStyle name="Normal 13 7 2" xfId="6878" xr:uid="{00000000-0005-0000-0000-000016110000}"/>
    <cellStyle name="Normal 13 8" xfId="4925" xr:uid="{00000000-0005-0000-0000-000017110000}"/>
    <cellStyle name="Normal 13 9" xfId="6621" xr:uid="{00000000-0005-0000-0000-000018110000}"/>
    <cellStyle name="Normal 14" xfId="3362" xr:uid="{00000000-0005-0000-0000-000019110000}"/>
    <cellStyle name="Normal 14 2" xfId="3709" xr:uid="{00000000-0005-0000-0000-00001A110000}"/>
    <cellStyle name="Normal 14 3" xfId="6646" xr:uid="{00000000-0005-0000-0000-00001B110000}"/>
    <cellStyle name="Normal 15" xfId="3710" xr:uid="{00000000-0005-0000-0000-00001C110000}"/>
    <cellStyle name="Normal 15 2" xfId="3711" xr:uid="{00000000-0005-0000-0000-00001D110000}"/>
    <cellStyle name="Normal 15 2 2" xfId="3712" xr:uid="{00000000-0005-0000-0000-00001E110000}"/>
    <cellStyle name="Normal 15 2 2 2" xfId="3713" xr:uid="{00000000-0005-0000-0000-00001F110000}"/>
    <cellStyle name="Normal 15 2 2 2 2" xfId="4343" xr:uid="{00000000-0005-0000-0000-000020110000}"/>
    <cellStyle name="Normal 15 2 2 2 2 2" xfId="7511" xr:uid="{00000000-0005-0000-0000-000021110000}"/>
    <cellStyle name="Normal 15 2 2 2 3" xfId="6887" xr:uid="{00000000-0005-0000-0000-000022110000}"/>
    <cellStyle name="Normal 15 2 2 3" xfId="3714" xr:uid="{00000000-0005-0000-0000-000023110000}"/>
    <cellStyle name="Normal 15 2 2 3 2" xfId="4344" xr:uid="{00000000-0005-0000-0000-000024110000}"/>
    <cellStyle name="Normal 15 2 2 3 2 2" xfId="7512" xr:uid="{00000000-0005-0000-0000-000025110000}"/>
    <cellStyle name="Normal 15 2 2 3 3" xfId="6888" xr:uid="{00000000-0005-0000-0000-000026110000}"/>
    <cellStyle name="Normal 15 2 2 4" xfId="3715" xr:uid="{00000000-0005-0000-0000-000027110000}"/>
    <cellStyle name="Normal 15 2 2 4 2" xfId="4345" xr:uid="{00000000-0005-0000-0000-000028110000}"/>
    <cellStyle name="Normal 15 2 2 4 2 2" xfId="7513" xr:uid="{00000000-0005-0000-0000-000029110000}"/>
    <cellStyle name="Normal 15 2 2 4 3" xfId="6889" xr:uid="{00000000-0005-0000-0000-00002A110000}"/>
    <cellStyle name="Normal 15 2 2 5" xfId="4342" xr:uid="{00000000-0005-0000-0000-00002B110000}"/>
    <cellStyle name="Normal 15 2 2 5 2" xfId="7510" xr:uid="{00000000-0005-0000-0000-00002C110000}"/>
    <cellStyle name="Normal 15 2 2 6" xfId="6886" xr:uid="{00000000-0005-0000-0000-00002D110000}"/>
    <cellStyle name="Normal 15 2 3" xfId="3716" xr:uid="{00000000-0005-0000-0000-00002E110000}"/>
    <cellStyle name="Normal 15 2 3 2" xfId="3717" xr:uid="{00000000-0005-0000-0000-00002F110000}"/>
    <cellStyle name="Normal 15 2 3 2 2" xfId="4347" xr:uid="{00000000-0005-0000-0000-000030110000}"/>
    <cellStyle name="Normal 15 2 3 2 2 2" xfId="7515" xr:uid="{00000000-0005-0000-0000-000031110000}"/>
    <cellStyle name="Normal 15 2 3 2 3" xfId="6891" xr:uid="{00000000-0005-0000-0000-000032110000}"/>
    <cellStyle name="Normal 15 2 3 3" xfId="3718" xr:uid="{00000000-0005-0000-0000-000033110000}"/>
    <cellStyle name="Normal 15 2 3 3 2" xfId="4348" xr:uid="{00000000-0005-0000-0000-000034110000}"/>
    <cellStyle name="Normal 15 2 3 3 2 2" xfId="7516" xr:uid="{00000000-0005-0000-0000-000035110000}"/>
    <cellStyle name="Normal 15 2 3 3 3" xfId="6892" xr:uid="{00000000-0005-0000-0000-000036110000}"/>
    <cellStyle name="Normal 15 2 3 4" xfId="3719" xr:uid="{00000000-0005-0000-0000-000037110000}"/>
    <cellStyle name="Normal 15 2 3 4 2" xfId="4349" xr:uid="{00000000-0005-0000-0000-000038110000}"/>
    <cellStyle name="Normal 15 2 3 4 2 2" xfId="7517" xr:uid="{00000000-0005-0000-0000-000039110000}"/>
    <cellStyle name="Normal 15 2 3 4 3" xfId="6893" xr:uid="{00000000-0005-0000-0000-00003A110000}"/>
    <cellStyle name="Normal 15 2 3 5" xfId="4346" xr:uid="{00000000-0005-0000-0000-00003B110000}"/>
    <cellStyle name="Normal 15 2 3 5 2" xfId="7514" xr:uid="{00000000-0005-0000-0000-00003C110000}"/>
    <cellStyle name="Normal 15 2 3 6" xfId="6890" xr:uid="{00000000-0005-0000-0000-00003D110000}"/>
    <cellStyle name="Normal 15 3" xfId="3720" xr:uid="{00000000-0005-0000-0000-00003E110000}"/>
    <cellStyle name="Normal 15 4" xfId="3721" xr:uid="{00000000-0005-0000-0000-00003F110000}"/>
    <cellStyle name="Normal 15 4 2" xfId="4350" xr:uid="{00000000-0005-0000-0000-000040110000}"/>
    <cellStyle name="Normal 15 4 2 2" xfId="7518" xr:uid="{00000000-0005-0000-0000-000041110000}"/>
    <cellStyle name="Normal 15 4 3" xfId="6894" xr:uid="{00000000-0005-0000-0000-000042110000}"/>
    <cellStyle name="Normal 15 5" xfId="3722" xr:uid="{00000000-0005-0000-0000-000043110000}"/>
    <cellStyle name="Normal 15 5 2" xfId="4351" xr:uid="{00000000-0005-0000-0000-000044110000}"/>
    <cellStyle name="Normal 15 5 2 2" xfId="7519" xr:uid="{00000000-0005-0000-0000-000045110000}"/>
    <cellStyle name="Normal 15 5 3" xfId="6895" xr:uid="{00000000-0005-0000-0000-000046110000}"/>
    <cellStyle name="Normal 15 6" xfId="4341" xr:uid="{00000000-0005-0000-0000-000047110000}"/>
    <cellStyle name="Normal 15 6 2" xfId="7509" xr:uid="{00000000-0005-0000-0000-000048110000}"/>
    <cellStyle name="Normal 15 7" xfId="6885" xr:uid="{00000000-0005-0000-0000-000049110000}"/>
    <cellStyle name="Normal 15_Trends fuels" xfId="3723" xr:uid="{00000000-0005-0000-0000-00004A110000}"/>
    <cellStyle name="Normal 16" xfId="3724" xr:uid="{00000000-0005-0000-0000-00004B110000}"/>
    <cellStyle name="Normal 16 2" xfId="3725" xr:uid="{00000000-0005-0000-0000-00004C110000}"/>
    <cellStyle name="Normal 16 2 2" xfId="4353" xr:uid="{00000000-0005-0000-0000-00004D110000}"/>
    <cellStyle name="Normal 16 2 2 2" xfId="7521" xr:uid="{00000000-0005-0000-0000-00004E110000}"/>
    <cellStyle name="Normal 16 2 3" xfId="6897" xr:uid="{00000000-0005-0000-0000-00004F110000}"/>
    <cellStyle name="Normal 16 3" xfId="3726" xr:uid="{00000000-0005-0000-0000-000050110000}"/>
    <cellStyle name="Normal 16 3 2" xfId="4354" xr:uid="{00000000-0005-0000-0000-000051110000}"/>
    <cellStyle name="Normal 16 3 2 2" xfId="7522" xr:uid="{00000000-0005-0000-0000-000052110000}"/>
    <cellStyle name="Normal 16 3 3" xfId="6898" xr:uid="{00000000-0005-0000-0000-000053110000}"/>
    <cellStyle name="Normal 16 4" xfId="3727" xr:uid="{00000000-0005-0000-0000-000054110000}"/>
    <cellStyle name="Normal 16 4 2" xfId="4355" xr:uid="{00000000-0005-0000-0000-000055110000}"/>
    <cellStyle name="Normal 16 4 2 2" xfId="7523" xr:uid="{00000000-0005-0000-0000-000056110000}"/>
    <cellStyle name="Normal 16 4 3" xfId="6899" xr:uid="{00000000-0005-0000-0000-000057110000}"/>
    <cellStyle name="Normal 16 5" xfId="4352" xr:uid="{00000000-0005-0000-0000-000058110000}"/>
    <cellStyle name="Normal 16 5 2" xfId="7520" xr:uid="{00000000-0005-0000-0000-000059110000}"/>
    <cellStyle name="Normal 16 6" xfId="6896" xr:uid="{00000000-0005-0000-0000-00005A110000}"/>
    <cellStyle name="Normal 17" xfId="3728" xr:uid="{00000000-0005-0000-0000-00005B110000}"/>
    <cellStyle name="Normal 17 2" xfId="3729" xr:uid="{00000000-0005-0000-0000-00005C110000}"/>
    <cellStyle name="Normal 17 2 2" xfId="4357" xr:uid="{00000000-0005-0000-0000-00005D110000}"/>
    <cellStyle name="Normal 17 2 2 2" xfId="7525" xr:uid="{00000000-0005-0000-0000-00005E110000}"/>
    <cellStyle name="Normal 17 2 3" xfId="6901" xr:uid="{00000000-0005-0000-0000-00005F110000}"/>
    <cellStyle name="Normal 17 3" xfId="3730" xr:uid="{00000000-0005-0000-0000-000060110000}"/>
    <cellStyle name="Normal 17 3 2" xfId="4358" xr:uid="{00000000-0005-0000-0000-000061110000}"/>
    <cellStyle name="Normal 17 3 2 2" xfId="7526" xr:uid="{00000000-0005-0000-0000-000062110000}"/>
    <cellStyle name="Normal 17 3 3" xfId="6902" xr:uid="{00000000-0005-0000-0000-000063110000}"/>
    <cellStyle name="Normal 17 4" xfId="3731" xr:uid="{00000000-0005-0000-0000-000064110000}"/>
    <cellStyle name="Normal 17 4 2" xfId="4359" xr:uid="{00000000-0005-0000-0000-000065110000}"/>
    <cellStyle name="Normal 17 4 2 2" xfId="7527" xr:uid="{00000000-0005-0000-0000-000066110000}"/>
    <cellStyle name="Normal 17 4 3" xfId="6903" xr:uid="{00000000-0005-0000-0000-000067110000}"/>
    <cellStyle name="Normal 17 5" xfId="4356" xr:uid="{00000000-0005-0000-0000-000068110000}"/>
    <cellStyle name="Normal 17 5 2" xfId="7524" xr:uid="{00000000-0005-0000-0000-000069110000}"/>
    <cellStyle name="Normal 17 6" xfId="6900" xr:uid="{00000000-0005-0000-0000-00006A110000}"/>
    <cellStyle name="Normal 18" xfId="3732" xr:uid="{00000000-0005-0000-0000-00006B110000}"/>
    <cellStyle name="Normal 18 2" xfId="3733" xr:uid="{00000000-0005-0000-0000-00006C110000}"/>
    <cellStyle name="Normal 18 2 2" xfId="4361" xr:uid="{00000000-0005-0000-0000-00006D110000}"/>
    <cellStyle name="Normal 18 2 2 2" xfId="7529" xr:uid="{00000000-0005-0000-0000-00006E110000}"/>
    <cellStyle name="Normal 18 2 3" xfId="6905" xr:uid="{00000000-0005-0000-0000-00006F110000}"/>
    <cellStyle name="Normal 18 3" xfId="3734" xr:uid="{00000000-0005-0000-0000-000070110000}"/>
    <cellStyle name="Normal 18 3 2" xfId="4362" xr:uid="{00000000-0005-0000-0000-000071110000}"/>
    <cellStyle name="Normal 18 3 2 2" xfId="7530" xr:uid="{00000000-0005-0000-0000-000072110000}"/>
    <cellStyle name="Normal 18 3 3" xfId="6906" xr:uid="{00000000-0005-0000-0000-000073110000}"/>
    <cellStyle name="Normal 18 4" xfId="3735" xr:uid="{00000000-0005-0000-0000-000074110000}"/>
    <cellStyle name="Normal 18 4 2" xfId="4363" xr:uid="{00000000-0005-0000-0000-000075110000}"/>
    <cellStyle name="Normal 18 4 2 2" xfId="7531" xr:uid="{00000000-0005-0000-0000-000076110000}"/>
    <cellStyle name="Normal 18 4 3" xfId="6907" xr:uid="{00000000-0005-0000-0000-000077110000}"/>
    <cellStyle name="Normal 18 5" xfId="4360" xr:uid="{00000000-0005-0000-0000-000078110000}"/>
    <cellStyle name="Normal 18 5 2" xfId="7528" xr:uid="{00000000-0005-0000-0000-000079110000}"/>
    <cellStyle name="Normal 18 6" xfId="6904" xr:uid="{00000000-0005-0000-0000-00007A110000}"/>
    <cellStyle name="Normal 19" xfId="3736" xr:uid="{00000000-0005-0000-0000-00007B110000}"/>
    <cellStyle name="Normal 19 2" xfId="3737" xr:uid="{00000000-0005-0000-0000-00007C110000}"/>
    <cellStyle name="Normal 19 2 2" xfId="4364" xr:uid="{00000000-0005-0000-0000-00007D110000}"/>
    <cellStyle name="Normal 19 2 2 2" xfId="7532" xr:uid="{00000000-0005-0000-0000-00007E110000}"/>
    <cellStyle name="Normal 19 2 3" xfId="6908" xr:uid="{00000000-0005-0000-0000-00007F110000}"/>
    <cellStyle name="Normal 2" xfId="976" xr:uid="{00000000-0005-0000-0000-000080110000}"/>
    <cellStyle name="Normal 2 10" xfId="3738" xr:uid="{00000000-0005-0000-0000-000081110000}"/>
    <cellStyle name="Normal 2 11" xfId="3739" xr:uid="{00000000-0005-0000-0000-000082110000}"/>
    <cellStyle name="Normal 2 11 2" xfId="3740" xr:uid="{00000000-0005-0000-0000-000083110000}"/>
    <cellStyle name="Normal 2 11 2 2" xfId="4366" xr:uid="{00000000-0005-0000-0000-000084110000}"/>
    <cellStyle name="Normal 2 11 2 2 2" xfId="7534" xr:uid="{00000000-0005-0000-0000-000085110000}"/>
    <cellStyle name="Normal 2 11 2 3" xfId="6910" xr:uid="{00000000-0005-0000-0000-000086110000}"/>
    <cellStyle name="Normal 2 11 3" xfId="4365" xr:uid="{00000000-0005-0000-0000-000087110000}"/>
    <cellStyle name="Normal 2 11 3 2" xfId="7533" xr:uid="{00000000-0005-0000-0000-000088110000}"/>
    <cellStyle name="Normal 2 11 4" xfId="6909" xr:uid="{00000000-0005-0000-0000-000089110000}"/>
    <cellStyle name="Normal 2 12" xfId="3741" xr:uid="{00000000-0005-0000-0000-00008A110000}"/>
    <cellStyle name="Normal 2 12 2" xfId="4367" xr:uid="{00000000-0005-0000-0000-00008B110000}"/>
    <cellStyle name="Normal 2 12 2 2" xfId="7535" xr:uid="{00000000-0005-0000-0000-00008C110000}"/>
    <cellStyle name="Normal 2 12 3" xfId="6911" xr:uid="{00000000-0005-0000-0000-00008D110000}"/>
    <cellStyle name="Normal 2 13" xfId="3742" xr:uid="{00000000-0005-0000-0000-00008E110000}"/>
    <cellStyle name="Normal 2 13 2" xfId="4368" xr:uid="{00000000-0005-0000-0000-00008F110000}"/>
    <cellStyle name="Normal 2 13 2 2" xfId="7536" xr:uid="{00000000-0005-0000-0000-000090110000}"/>
    <cellStyle name="Normal 2 13 3" xfId="6912" xr:uid="{00000000-0005-0000-0000-000091110000}"/>
    <cellStyle name="Normal 2 14" xfId="3512" xr:uid="{00000000-0005-0000-0000-000092110000}"/>
    <cellStyle name="Normal 2 14 2" xfId="4153" xr:uid="{00000000-0005-0000-0000-000093110000}"/>
    <cellStyle name="Normal 2 14 2 2" xfId="7321" xr:uid="{00000000-0005-0000-0000-000094110000}"/>
    <cellStyle name="Normal 2 14 3" xfId="6710" xr:uid="{00000000-0005-0000-0000-000095110000}"/>
    <cellStyle name="Normal 2 15" xfId="3372" xr:uid="{00000000-0005-0000-0000-000096110000}"/>
    <cellStyle name="Normal 2 2" xfId="977" xr:uid="{00000000-0005-0000-0000-000097110000}"/>
    <cellStyle name="Normal 2 2 2" xfId="978" xr:uid="{00000000-0005-0000-0000-000098110000}"/>
    <cellStyle name="Normal 2 2 2 2" xfId="979" xr:uid="{00000000-0005-0000-0000-000099110000}"/>
    <cellStyle name="Normal 2 2 2 2 2" xfId="3743" xr:uid="{00000000-0005-0000-0000-00009A110000}"/>
    <cellStyle name="Normal 2 2 2 2 2 2" xfId="4369" xr:uid="{00000000-0005-0000-0000-00009B110000}"/>
    <cellStyle name="Normal 2 2 2 2 2 2 2" xfId="7537" xr:uid="{00000000-0005-0000-0000-00009C110000}"/>
    <cellStyle name="Normal 2 2 2 2 2 3" xfId="6913" xr:uid="{00000000-0005-0000-0000-00009D110000}"/>
    <cellStyle name="Normal 2 2 2 2 3" xfId="4132" xr:uid="{00000000-0005-0000-0000-00009E110000}"/>
    <cellStyle name="Normal 2 2 2 2 3 2" xfId="7300" xr:uid="{00000000-0005-0000-0000-00009F110000}"/>
    <cellStyle name="Normal 2 2 2 2 4" xfId="3481" xr:uid="{00000000-0005-0000-0000-0000A0110000}"/>
    <cellStyle name="Normal 2 2 2 2 4 2" xfId="6689" xr:uid="{00000000-0005-0000-0000-0000A1110000}"/>
    <cellStyle name="Normal 2 2 2 3" xfId="2613" xr:uid="{00000000-0005-0000-0000-0000A2110000}"/>
    <cellStyle name="Normal 2 2 2 3 2" xfId="3744" xr:uid="{00000000-0005-0000-0000-0000A3110000}"/>
    <cellStyle name="Normal 2 2 2 3 2 2" xfId="4370" xr:uid="{00000000-0005-0000-0000-0000A4110000}"/>
    <cellStyle name="Normal 2 2 2 3 2 2 2" xfId="7538" xr:uid="{00000000-0005-0000-0000-0000A5110000}"/>
    <cellStyle name="Normal 2 2 2 3 2 3" xfId="6914" xr:uid="{00000000-0005-0000-0000-0000A6110000}"/>
    <cellStyle name="Normal 2 2 2 3 3" xfId="4148" xr:uid="{00000000-0005-0000-0000-0000A7110000}"/>
    <cellStyle name="Normal 2 2 2 3 3 2" xfId="7316" xr:uid="{00000000-0005-0000-0000-0000A8110000}"/>
    <cellStyle name="Normal 2 2 2 3 4" xfId="3497" xr:uid="{00000000-0005-0000-0000-0000A9110000}"/>
    <cellStyle name="Normal 2 2 2 3 4 2" xfId="6705" xr:uid="{00000000-0005-0000-0000-0000AA110000}"/>
    <cellStyle name="Normal 2 2 2 4" xfId="3326" xr:uid="{00000000-0005-0000-0000-0000AB110000}"/>
    <cellStyle name="Normal 2 2 2 4 2" xfId="4371" xr:uid="{00000000-0005-0000-0000-0000AC110000}"/>
    <cellStyle name="Normal 2 2 2 4 2 2" xfId="7539" xr:uid="{00000000-0005-0000-0000-0000AD110000}"/>
    <cellStyle name="Normal 2 2 2 4 3" xfId="3745" xr:uid="{00000000-0005-0000-0000-0000AE110000}"/>
    <cellStyle name="Normal 2 2 2 4 3 2" xfId="6915" xr:uid="{00000000-0005-0000-0000-0000AF110000}"/>
    <cellStyle name="Normal 2 2 2 4 4" xfId="6630" xr:uid="{00000000-0005-0000-0000-0000B0110000}"/>
    <cellStyle name="Normal 2 2 2 5" xfId="3517" xr:uid="{00000000-0005-0000-0000-0000B1110000}"/>
    <cellStyle name="Normal 2 2 2 5 2" xfId="4158" xr:uid="{00000000-0005-0000-0000-0000B2110000}"/>
    <cellStyle name="Normal 2 2 2 5 2 2" xfId="7326" xr:uid="{00000000-0005-0000-0000-0000B3110000}"/>
    <cellStyle name="Normal 2 2 2 5 3" xfId="6715" xr:uid="{00000000-0005-0000-0000-0000B4110000}"/>
    <cellStyle name="Normal 2 2 2 6" xfId="4116" xr:uid="{00000000-0005-0000-0000-0000B5110000}"/>
    <cellStyle name="Normal 2 2 2 6 2" xfId="7284" xr:uid="{00000000-0005-0000-0000-0000B6110000}"/>
    <cellStyle name="Normal 2 2 2 7" xfId="3465" xr:uid="{00000000-0005-0000-0000-0000B7110000}"/>
    <cellStyle name="Normal 2 2 2 7 2" xfId="6673" xr:uid="{00000000-0005-0000-0000-0000B8110000}"/>
    <cellStyle name="Normal 2 2 3" xfId="3319" xr:uid="{00000000-0005-0000-0000-0000B9110000}"/>
    <cellStyle name="Normal 2 2 3 2" xfId="3746" xr:uid="{00000000-0005-0000-0000-0000BA110000}"/>
    <cellStyle name="Normal 2 2 3 2 2" xfId="4372" xr:uid="{00000000-0005-0000-0000-0000BB110000}"/>
    <cellStyle name="Normal 2 2 3 2 2 2" xfId="7540" xr:uid="{00000000-0005-0000-0000-0000BC110000}"/>
    <cellStyle name="Normal 2 2 3 2 3" xfId="6916" xr:uid="{00000000-0005-0000-0000-0000BD110000}"/>
    <cellStyle name="Normal 2 2 3 3" xfId="4124" xr:uid="{00000000-0005-0000-0000-0000BE110000}"/>
    <cellStyle name="Normal 2 2 3 3 2" xfId="7292" xr:uid="{00000000-0005-0000-0000-0000BF110000}"/>
    <cellStyle name="Normal 2 2 3 4" xfId="3473" xr:uid="{00000000-0005-0000-0000-0000C0110000}"/>
    <cellStyle name="Normal 2 2 3 4 2" xfId="6681" xr:uid="{00000000-0005-0000-0000-0000C1110000}"/>
    <cellStyle name="Normal 2 2 3 5" xfId="6626" xr:uid="{00000000-0005-0000-0000-0000C2110000}"/>
    <cellStyle name="Normal 2 2 4" xfId="3489" xr:uid="{00000000-0005-0000-0000-0000C3110000}"/>
    <cellStyle name="Normal 2 2 4 2" xfId="3747" xr:uid="{00000000-0005-0000-0000-0000C4110000}"/>
    <cellStyle name="Normal 2 2 4 2 2" xfId="4373" xr:uid="{00000000-0005-0000-0000-0000C5110000}"/>
    <cellStyle name="Normal 2 2 4 2 2 2" xfId="7541" xr:uid="{00000000-0005-0000-0000-0000C6110000}"/>
    <cellStyle name="Normal 2 2 4 2 3" xfId="6917" xr:uid="{00000000-0005-0000-0000-0000C7110000}"/>
    <cellStyle name="Normal 2 2 4 3" xfId="4140" xr:uid="{00000000-0005-0000-0000-0000C8110000}"/>
    <cellStyle name="Normal 2 2 4 3 2" xfId="7308" xr:uid="{00000000-0005-0000-0000-0000C9110000}"/>
    <cellStyle name="Normal 2 2 4 4" xfId="6697" xr:uid="{00000000-0005-0000-0000-0000CA110000}"/>
    <cellStyle name="Normal 2 2 5" xfId="3748" xr:uid="{00000000-0005-0000-0000-0000CB110000}"/>
    <cellStyle name="Normal 2 2 5 2" xfId="4374" xr:uid="{00000000-0005-0000-0000-0000CC110000}"/>
    <cellStyle name="Normal 2 2 5 2 2" xfId="7542" xr:uid="{00000000-0005-0000-0000-0000CD110000}"/>
    <cellStyle name="Normal 2 2 5 3" xfId="6918" xr:uid="{00000000-0005-0000-0000-0000CE110000}"/>
    <cellStyle name="Normal 2 2 6" xfId="3749" xr:uid="{00000000-0005-0000-0000-0000CF110000}"/>
    <cellStyle name="Normal 2 2 6 2" xfId="4375" xr:uid="{00000000-0005-0000-0000-0000D0110000}"/>
    <cellStyle name="Normal 2 2 6 2 2" xfId="7543" xr:uid="{00000000-0005-0000-0000-0000D1110000}"/>
    <cellStyle name="Normal 2 2 6 3" xfId="6919" xr:uid="{00000000-0005-0000-0000-0000D2110000}"/>
    <cellStyle name="Normal 2 2 7" xfId="3506" xr:uid="{00000000-0005-0000-0000-0000D3110000}"/>
    <cellStyle name="Normal 2 2 8" xfId="4108" xr:uid="{00000000-0005-0000-0000-0000D4110000}"/>
    <cellStyle name="Normal 2 2 8 2" xfId="7276" xr:uid="{00000000-0005-0000-0000-0000D5110000}"/>
    <cellStyle name="Normal 2 2 9" xfId="3447" xr:uid="{00000000-0005-0000-0000-0000D6110000}"/>
    <cellStyle name="Normal 2 2 9 2" xfId="6664" xr:uid="{00000000-0005-0000-0000-0000D7110000}"/>
    <cellStyle name="Normal 2 3" xfId="980" xr:uid="{00000000-0005-0000-0000-0000D8110000}"/>
    <cellStyle name="Normal 2 3 2" xfId="3751" xr:uid="{00000000-0005-0000-0000-0000D9110000}"/>
    <cellStyle name="Normal 2 3 2 2" xfId="3752" xr:uid="{00000000-0005-0000-0000-0000DA110000}"/>
    <cellStyle name="Normal 2 3 2 2 2" xfId="4378" xr:uid="{00000000-0005-0000-0000-0000DB110000}"/>
    <cellStyle name="Normal 2 3 2 2 2 2" xfId="7546" xr:uid="{00000000-0005-0000-0000-0000DC110000}"/>
    <cellStyle name="Normal 2 3 2 2 3" xfId="6922" xr:uid="{00000000-0005-0000-0000-0000DD110000}"/>
    <cellStyle name="Normal 2 3 2 3" xfId="3753" xr:uid="{00000000-0005-0000-0000-0000DE110000}"/>
    <cellStyle name="Normal 2 3 2 3 2" xfId="4379" xr:uid="{00000000-0005-0000-0000-0000DF110000}"/>
    <cellStyle name="Normal 2 3 2 3 2 2" xfId="7547" xr:uid="{00000000-0005-0000-0000-0000E0110000}"/>
    <cellStyle name="Normal 2 3 2 3 3" xfId="6923" xr:uid="{00000000-0005-0000-0000-0000E1110000}"/>
    <cellStyle name="Normal 2 3 2 4" xfId="4377" xr:uid="{00000000-0005-0000-0000-0000E2110000}"/>
    <cellStyle name="Normal 2 3 2 4 2" xfId="7545" xr:uid="{00000000-0005-0000-0000-0000E3110000}"/>
    <cellStyle name="Normal 2 3 2 5" xfId="6921" xr:uid="{00000000-0005-0000-0000-0000E4110000}"/>
    <cellStyle name="Normal 2 3 3" xfId="3754" xr:uid="{00000000-0005-0000-0000-0000E5110000}"/>
    <cellStyle name="Normal 2 3 3 2" xfId="4380" xr:uid="{00000000-0005-0000-0000-0000E6110000}"/>
    <cellStyle name="Normal 2 3 3 2 2" xfId="7548" xr:uid="{00000000-0005-0000-0000-0000E7110000}"/>
    <cellStyle name="Normal 2 3 3 3" xfId="6924" xr:uid="{00000000-0005-0000-0000-0000E8110000}"/>
    <cellStyle name="Normal 2 3 4" xfId="3755" xr:uid="{00000000-0005-0000-0000-0000E9110000}"/>
    <cellStyle name="Normal 2 3 4 2" xfId="4381" xr:uid="{00000000-0005-0000-0000-0000EA110000}"/>
    <cellStyle name="Normal 2 3 4 2 2" xfId="7549" xr:uid="{00000000-0005-0000-0000-0000EB110000}"/>
    <cellStyle name="Normal 2 3 4 3" xfId="6925" xr:uid="{00000000-0005-0000-0000-0000EC110000}"/>
    <cellStyle name="Normal 2 3 5" xfId="3756" xr:uid="{00000000-0005-0000-0000-0000ED110000}"/>
    <cellStyle name="Normal 2 3 5 2" xfId="4382" xr:uid="{00000000-0005-0000-0000-0000EE110000}"/>
    <cellStyle name="Normal 2 3 5 2 2" xfId="7550" xr:uid="{00000000-0005-0000-0000-0000EF110000}"/>
    <cellStyle name="Normal 2 3 5 3" xfId="6926" xr:uid="{00000000-0005-0000-0000-0000F0110000}"/>
    <cellStyle name="Normal 2 3 6" xfId="3757" xr:uid="{00000000-0005-0000-0000-0000F1110000}"/>
    <cellStyle name="Normal 2 3 6 2" xfId="4383" xr:uid="{00000000-0005-0000-0000-0000F2110000}"/>
    <cellStyle name="Normal 2 3 6 2 2" xfId="7551" xr:uid="{00000000-0005-0000-0000-0000F3110000}"/>
    <cellStyle name="Normal 2 3 6 3" xfId="6927" xr:uid="{00000000-0005-0000-0000-0000F4110000}"/>
    <cellStyle name="Normal 2 3 7" xfId="3750" xr:uid="{00000000-0005-0000-0000-0000F5110000}"/>
    <cellStyle name="Normal 2 3 7 2" xfId="4376" xr:uid="{00000000-0005-0000-0000-0000F6110000}"/>
    <cellStyle name="Normal 2 3 7 2 2" xfId="7544" xr:uid="{00000000-0005-0000-0000-0000F7110000}"/>
    <cellStyle name="Normal 2 3 7 3" xfId="6920" xr:uid="{00000000-0005-0000-0000-0000F8110000}"/>
    <cellStyle name="Normal 2 3 8" xfId="3378" xr:uid="{00000000-0005-0000-0000-0000F9110000}"/>
    <cellStyle name="Normal 2 4" xfId="981" xr:uid="{00000000-0005-0000-0000-0000FA110000}"/>
    <cellStyle name="Normal 2 4 2" xfId="2614" xr:uid="{00000000-0005-0000-0000-0000FB110000}"/>
    <cellStyle name="Normal 2 4 2 2" xfId="3760" xr:uid="{00000000-0005-0000-0000-0000FC110000}"/>
    <cellStyle name="Normal 2 4 2 2 2" xfId="4386" xr:uid="{00000000-0005-0000-0000-0000FD110000}"/>
    <cellStyle name="Normal 2 4 2 2 2 2" xfId="7554" xr:uid="{00000000-0005-0000-0000-0000FE110000}"/>
    <cellStyle name="Normal 2 4 2 2 3" xfId="6930" xr:uid="{00000000-0005-0000-0000-0000FF110000}"/>
    <cellStyle name="Normal 2 4 2 3" xfId="3761" xr:uid="{00000000-0005-0000-0000-000000120000}"/>
    <cellStyle name="Normal 2 4 2 3 2" xfId="4387" xr:uid="{00000000-0005-0000-0000-000001120000}"/>
    <cellStyle name="Normal 2 4 2 3 2 2" xfId="7555" xr:uid="{00000000-0005-0000-0000-000002120000}"/>
    <cellStyle name="Normal 2 4 2 3 3" xfId="6931" xr:uid="{00000000-0005-0000-0000-000003120000}"/>
    <cellStyle name="Normal 2 4 2 4" xfId="4385" xr:uid="{00000000-0005-0000-0000-000004120000}"/>
    <cellStyle name="Normal 2 4 2 4 2" xfId="7553" xr:uid="{00000000-0005-0000-0000-000005120000}"/>
    <cellStyle name="Normal 2 4 2 5" xfId="3759" xr:uid="{00000000-0005-0000-0000-000006120000}"/>
    <cellStyle name="Normal 2 4 2 5 2" xfId="6929" xr:uid="{00000000-0005-0000-0000-000007120000}"/>
    <cellStyle name="Normal 2 4 3" xfId="3762" xr:uid="{00000000-0005-0000-0000-000008120000}"/>
    <cellStyle name="Normal 2 4 3 2" xfId="4388" xr:uid="{00000000-0005-0000-0000-000009120000}"/>
    <cellStyle name="Normal 2 4 3 2 2" xfId="7556" xr:uid="{00000000-0005-0000-0000-00000A120000}"/>
    <cellStyle name="Normal 2 4 3 3" xfId="6932" xr:uid="{00000000-0005-0000-0000-00000B120000}"/>
    <cellStyle name="Normal 2 4 4" xfId="3763" xr:uid="{00000000-0005-0000-0000-00000C120000}"/>
    <cellStyle name="Normal 2 4 4 2" xfId="4389" xr:uid="{00000000-0005-0000-0000-00000D120000}"/>
    <cellStyle name="Normal 2 4 4 2 2" xfId="7557" xr:uid="{00000000-0005-0000-0000-00000E120000}"/>
    <cellStyle name="Normal 2 4 4 3" xfId="6933" xr:uid="{00000000-0005-0000-0000-00000F120000}"/>
    <cellStyle name="Normal 2 4 5" xfId="3764" xr:uid="{00000000-0005-0000-0000-000010120000}"/>
    <cellStyle name="Normal 2 4 5 2" xfId="4390" xr:uid="{00000000-0005-0000-0000-000011120000}"/>
    <cellStyle name="Normal 2 4 5 2 2" xfId="7558" xr:uid="{00000000-0005-0000-0000-000012120000}"/>
    <cellStyle name="Normal 2 4 5 3" xfId="6934" xr:uid="{00000000-0005-0000-0000-000013120000}"/>
    <cellStyle name="Normal 2 4 6" xfId="3765" xr:uid="{00000000-0005-0000-0000-000014120000}"/>
    <cellStyle name="Normal 2 4 6 2" xfId="4391" xr:uid="{00000000-0005-0000-0000-000015120000}"/>
    <cellStyle name="Normal 2 4 6 2 2" xfId="7559" xr:uid="{00000000-0005-0000-0000-000016120000}"/>
    <cellStyle name="Normal 2 4 6 3" xfId="6935" xr:uid="{00000000-0005-0000-0000-000017120000}"/>
    <cellStyle name="Normal 2 4 7" xfId="3758" xr:uid="{00000000-0005-0000-0000-000018120000}"/>
    <cellStyle name="Normal 2 4 7 2" xfId="4384" xr:uid="{00000000-0005-0000-0000-000019120000}"/>
    <cellStyle name="Normal 2 4 7 2 2" xfId="7552" xr:uid="{00000000-0005-0000-0000-00001A120000}"/>
    <cellStyle name="Normal 2 4 7 3" xfId="6928" xr:uid="{00000000-0005-0000-0000-00001B120000}"/>
    <cellStyle name="Normal 2 4 8" xfId="3379" xr:uid="{00000000-0005-0000-0000-00001C120000}"/>
    <cellStyle name="Normal 2 5" xfId="2612" xr:uid="{00000000-0005-0000-0000-00001D120000}"/>
    <cellStyle name="Normal 2 5 2" xfId="3767" xr:uid="{00000000-0005-0000-0000-00001E120000}"/>
    <cellStyle name="Normal 2 5 2 2" xfId="3768" xr:uid="{00000000-0005-0000-0000-00001F120000}"/>
    <cellStyle name="Normal 2 5 2 2 2" xfId="4394" xr:uid="{00000000-0005-0000-0000-000020120000}"/>
    <cellStyle name="Normal 2 5 2 2 2 2" xfId="7562" xr:uid="{00000000-0005-0000-0000-000021120000}"/>
    <cellStyle name="Normal 2 5 2 2 3" xfId="6938" xr:uid="{00000000-0005-0000-0000-000022120000}"/>
    <cellStyle name="Normal 2 5 2 3" xfId="3769" xr:uid="{00000000-0005-0000-0000-000023120000}"/>
    <cellStyle name="Normal 2 5 2 3 2" xfId="4395" xr:uid="{00000000-0005-0000-0000-000024120000}"/>
    <cellStyle name="Normal 2 5 2 3 2 2" xfId="7563" xr:uid="{00000000-0005-0000-0000-000025120000}"/>
    <cellStyle name="Normal 2 5 2 3 3" xfId="6939" xr:uid="{00000000-0005-0000-0000-000026120000}"/>
    <cellStyle name="Normal 2 5 2 4" xfId="4393" xr:uid="{00000000-0005-0000-0000-000027120000}"/>
    <cellStyle name="Normal 2 5 2 4 2" xfId="7561" xr:uid="{00000000-0005-0000-0000-000028120000}"/>
    <cellStyle name="Normal 2 5 2 5" xfId="6937" xr:uid="{00000000-0005-0000-0000-000029120000}"/>
    <cellStyle name="Normal 2 5 3" xfId="3770" xr:uid="{00000000-0005-0000-0000-00002A120000}"/>
    <cellStyle name="Normal 2 5 3 2" xfId="4396" xr:uid="{00000000-0005-0000-0000-00002B120000}"/>
    <cellStyle name="Normal 2 5 3 2 2" xfId="7564" xr:uid="{00000000-0005-0000-0000-00002C120000}"/>
    <cellStyle name="Normal 2 5 3 3" xfId="6940" xr:uid="{00000000-0005-0000-0000-00002D120000}"/>
    <cellStyle name="Normal 2 5 4" xfId="3771" xr:uid="{00000000-0005-0000-0000-00002E120000}"/>
    <cellStyle name="Normal 2 5 4 2" xfId="4397" xr:uid="{00000000-0005-0000-0000-00002F120000}"/>
    <cellStyle name="Normal 2 5 4 2 2" xfId="7565" xr:uid="{00000000-0005-0000-0000-000030120000}"/>
    <cellStyle name="Normal 2 5 4 3" xfId="6941" xr:uid="{00000000-0005-0000-0000-000031120000}"/>
    <cellStyle name="Normal 2 5 5" xfId="3772" xr:uid="{00000000-0005-0000-0000-000032120000}"/>
    <cellStyle name="Normal 2 5 5 2" xfId="4398" xr:uid="{00000000-0005-0000-0000-000033120000}"/>
    <cellStyle name="Normal 2 5 5 2 2" xfId="7566" xr:uid="{00000000-0005-0000-0000-000034120000}"/>
    <cellStyle name="Normal 2 5 5 3" xfId="6942" xr:uid="{00000000-0005-0000-0000-000035120000}"/>
    <cellStyle name="Normal 2 5 6" xfId="3766" xr:uid="{00000000-0005-0000-0000-000036120000}"/>
    <cellStyle name="Normal 2 5 6 2" xfId="4392" xr:uid="{00000000-0005-0000-0000-000037120000}"/>
    <cellStyle name="Normal 2 5 6 2 2" xfId="7560" xr:uid="{00000000-0005-0000-0000-000038120000}"/>
    <cellStyle name="Normal 2 5 6 3" xfId="6936" xr:uid="{00000000-0005-0000-0000-000039120000}"/>
    <cellStyle name="Normal 2 5 7" xfId="3380" xr:uid="{00000000-0005-0000-0000-00003A120000}"/>
    <cellStyle name="Normal 2 6" xfId="3389" xr:uid="{00000000-0005-0000-0000-00003B120000}"/>
    <cellStyle name="Normal 2 6 2" xfId="3774" xr:uid="{00000000-0005-0000-0000-00003C120000}"/>
    <cellStyle name="Normal 2 6 2 2" xfId="3775" xr:uid="{00000000-0005-0000-0000-00003D120000}"/>
    <cellStyle name="Normal 2 6 2 2 2" xfId="4401" xr:uid="{00000000-0005-0000-0000-00003E120000}"/>
    <cellStyle name="Normal 2 6 2 2 2 2" xfId="7569" xr:uid="{00000000-0005-0000-0000-00003F120000}"/>
    <cellStyle name="Normal 2 6 2 2 3" xfId="6945" xr:uid="{00000000-0005-0000-0000-000040120000}"/>
    <cellStyle name="Normal 2 6 2 3" xfId="3776" xr:uid="{00000000-0005-0000-0000-000041120000}"/>
    <cellStyle name="Normal 2 6 2 3 2" xfId="4402" xr:uid="{00000000-0005-0000-0000-000042120000}"/>
    <cellStyle name="Normal 2 6 2 3 2 2" xfId="7570" xr:uid="{00000000-0005-0000-0000-000043120000}"/>
    <cellStyle name="Normal 2 6 2 3 3" xfId="6946" xr:uid="{00000000-0005-0000-0000-000044120000}"/>
    <cellStyle name="Normal 2 6 2 4" xfId="4400" xr:uid="{00000000-0005-0000-0000-000045120000}"/>
    <cellStyle name="Normal 2 6 2 4 2" xfId="7568" xr:uid="{00000000-0005-0000-0000-000046120000}"/>
    <cellStyle name="Normal 2 6 2 5" xfId="6944" xr:uid="{00000000-0005-0000-0000-000047120000}"/>
    <cellStyle name="Normal 2 6 3" xfId="3777" xr:uid="{00000000-0005-0000-0000-000048120000}"/>
    <cellStyle name="Normal 2 6 3 2" xfId="4403" xr:uid="{00000000-0005-0000-0000-000049120000}"/>
    <cellStyle name="Normal 2 6 3 2 2" xfId="7571" xr:uid="{00000000-0005-0000-0000-00004A120000}"/>
    <cellStyle name="Normal 2 6 3 3" xfId="6947" xr:uid="{00000000-0005-0000-0000-00004B120000}"/>
    <cellStyle name="Normal 2 6 4" xfId="3778" xr:uid="{00000000-0005-0000-0000-00004C120000}"/>
    <cellStyle name="Normal 2 6 4 2" xfId="4404" xr:uid="{00000000-0005-0000-0000-00004D120000}"/>
    <cellStyle name="Normal 2 6 4 2 2" xfId="7572" xr:uid="{00000000-0005-0000-0000-00004E120000}"/>
    <cellStyle name="Normal 2 6 4 3" xfId="6948" xr:uid="{00000000-0005-0000-0000-00004F120000}"/>
    <cellStyle name="Normal 2 6 5" xfId="3779" xr:uid="{00000000-0005-0000-0000-000050120000}"/>
    <cellStyle name="Normal 2 6 5 2" xfId="4405" xr:uid="{00000000-0005-0000-0000-000051120000}"/>
    <cellStyle name="Normal 2 6 5 2 2" xfId="7573" xr:uid="{00000000-0005-0000-0000-000052120000}"/>
    <cellStyle name="Normal 2 6 5 3" xfId="6949" xr:uid="{00000000-0005-0000-0000-000053120000}"/>
    <cellStyle name="Normal 2 6 6" xfId="3773" xr:uid="{00000000-0005-0000-0000-000054120000}"/>
    <cellStyle name="Normal 2 6 6 2" xfId="4399" xr:uid="{00000000-0005-0000-0000-000055120000}"/>
    <cellStyle name="Normal 2 6 6 2 2" xfId="7567" xr:uid="{00000000-0005-0000-0000-000056120000}"/>
    <cellStyle name="Normal 2 6 6 3" xfId="6943" xr:uid="{00000000-0005-0000-0000-000057120000}"/>
    <cellStyle name="Normal 2 7" xfId="3780" xr:uid="{00000000-0005-0000-0000-000058120000}"/>
    <cellStyle name="Normal 2 7 2" xfId="3781" xr:uid="{00000000-0005-0000-0000-000059120000}"/>
    <cellStyle name="Normal 2 7 2 2" xfId="3782" xr:uid="{00000000-0005-0000-0000-00005A120000}"/>
    <cellStyle name="Normal 2 7 2 2 2" xfId="4408" xr:uid="{00000000-0005-0000-0000-00005B120000}"/>
    <cellStyle name="Normal 2 7 2 2 2 2" xfId="7576" xr:uid="{00000000-0005-0000-0000-00005C120000}"/>
    <cellStyle name="Normal 2 7 2 2 3" xfId="6952" xr:uid="{00000000-0005-0000-0000-00005D120000}"/>
    <cellStyle name="Normal 2 7 2 3" xfId="3783" xr:uid="{00000000-0005-0000-0000-00005E120000}"/>
    <cellStyle name="Normal 2 7 2 3 2" xfId="4409" xr:uid="{00000000-0005-0000-0000-00005F120000}"/>
    <cellStyle name="Normal 2 7 2 3 2 2" xfId="7577" xr:uid="{00000000-0005-0000-0000-000060120000}"/>
    <cellStyle name="Normal 2 7 2 3 3" xfId="6953" xr:uid="{00000000-0005-0000-0000-000061120000}"/>
    <cellStyle name="Normal 2 7 2 4" xfId="4407" xr:uid="{00000000-0005-0000-0000-000062120000}"/>
    <cellStyle name="Normal 2 7 2 4 2" xfId="7575" xr:uid="{00000000-0005-0000-0000-000063120000}"/>
    <cellStyle name="Normal 2 7 2 5" xfId="6951" xr:uid="{00000000-0005-0000-0000-000064120000}"/>
    <cellStyle name="Normal 2 7 3" xfId="3784" xr:uid="{00000000-0005-0000-0000-000065120000}"/>
    <cellStyle name="Normal 2 7 3 2" xfId="4410" xr:uid="{00000000-0005-0000-0000-000066120000}"/>
    <cellStyle name="Normal 2 7 3 2 2" xfId="7578" xr:uid="{00000000-0005-0000-0000-000067120000}"/>
    <cellStyle name="Normal 2 7 3 3" xfId="6954" xr:uid="{00000000-0005-0000-0000-000068120000}"/>
    <cellStyle name="Normal 2 7 4" xfId="3785" xr:uid="{00000000-0005-0000-0000-000069120000}"/>
    <cellStyle name="Normal 2 7 4 2" xfId="4411" xr:uid="{00000000-0005-0000-0000-00006A120000}"/>
    <cellStyle name="Normal 2 7 4 2 2" xfId="7579" xr:uid="{00000000-0005-0000-0000-00006B120000}"/>
    <cellStyle name="Normal 2 7 4 3" xfId="6955" xr:uid="{00000000-0005-0000-0000-00006C120000}"/>
    <cellStyle name="Normal 2 7 5" xfId="3786" xr:uid="{00000000-0005-0000-0000-00006D120000}"/>
    <cellStyle name="Normal 2 7 5 2" xfId="4412" xr:uid="{00000000-0005-0000-0000-00006E120000}"/>
    <cellStyle name="Normal 2 7 5 2 2" xfId="7580" xr:uid="{00000000-0005-0000-0000-00006F120000}"/>
    <cellStyle name="Normal 2 7 5 3" xfId="6956" xr:uid="{00000000-0005-0000-0000-000070120000}"/>
    <cellStyle name="Normal 2 7 6" xfId="4406" xr:uid="{00000000-0005-0000-0000-000071120000}"/>
    <cellStyle name="Normal 2 7 6 2" xfId="7574" xr:uid="{00000000-0005-0000-0000-000072120000}"/>
    <cellStyle name="Normal 2 7 7" xfId="6950" xr:uid="{00000000-0005-0000-0000-000073120000}"/>
    <cellStyle name="Normal 2 8" xfId="3787" xr:uid="{00000000-0005-0000-0000-000074120000}"/>
    <cellStyle name="Normal 2 8 2" xfId="3788" xr:uid="{00000000-0005-0000-0000-000075120000}"/>
    <cellStyle name="Normal 2 8 2 2" xfId="3789" xr:uid="{00000000-0005-0000-0000-000076120000}"/>
    <cellStyle name="Normal 2 8 2 2 2" xfId="4415" xr:uid="{00000000-0005-0000-0000-000077120000}"/>
    <cellStyle name="Normal 2 8 2 2 2 2" xfId="7583" xr:uid="{00000000-0005-0000-0000-000078120000}"/>
    <cellStyle name="Normal 2 8 2 2 3" xfId="6959" xr:uid="{00000000-0005-0000-0000-000079120000}"/>
    <cellStyle name="Normal 2 8 2 3" xfId="3790" xr:uid="{00000000-0005-0000-0000-00007A120000}"/>
    <cellStyle name="Normal 2 8 2 3 2" xfId="4416" xr:uid="{00000000-0005-0000-0000-00007B120000}"/>
    <cellStyle name="Normal 2 8 2 3 2 2" xfId="7584" xr:uid="{00000000-0005-0000-0000-00007C120000}"/>
    <cellStyle name="Normal 2 8 2 3 3" xfId="6960" xr:uid="{00000000-0005-0000-0000-00007D120000}"/>
    <cellStyle name="Normal 2 8 2 4" xfId="4414" xr:uid="{00000000-0005-0000-0000-00007E120000}"/>
    <cellStyle name="Normal 2 8 2 4 2" xfId="7582" xr:uid="{00000000-0005-0000-0000-00007F120000}"/>
    <cellStyle name="Normal 2 8 2 5" xfId="6958" xr:uid="{00000000-0005-0000-0000-000080120000}"/>
    <cellStyle name="Normal 2 8 3" xfId="3791" xr:uid="{00000000-0005-0000-0000-000081120000}"/>
    <cellStyle name="Normal 2 8 3 2" xfId="4417" xr:uid="{00000000-0005-0000-0000-000082120000}"/>
    <cellStyle name="Normal 2 8 3 2 2" xfId="7585" xr:uid="{00000000-0005-0000-0000-000083120000}"/>
    <cellStyle name="Normal 2 8 3 3" xfId="6961" xr:uid="{00000000-0005-0000-0000-000084120000}"/>
    <cellStyle name="Normal 2 8 4" xfId="3792" xr:uid="{00000000-0005-0000-0000-000085120000}"/>
    <cellStyle name="Normal 2 8 4 2" xfId="4418" xr:uid="{00000000-0005-0000-0000-000086120000}"/>
    <cellStyle name="Normal 2 8 4 2 2" xfId="7586" xr:uid="{00000000-0005-0000-0000-000087120000}"/>
    <cellStyle name="Normal 2 8 4 3" xfId="6962" xr:uid="{00000000-0005-0000-0000-000088120000}"/>
    <cellStyle name="Normal 2 8 5" xfId="3793" xr:uid="{00000000-0005-0000-0000-000089120000}"/>
    <cellStyle name="Normal 2 8 5 2" xfId="4419" xr:uid="{00000000-0005-0000-0000-00008A120000}"/>
    <cellStyle name="Normal 2 8 5 2 2" xfId="7587" xr:uid="{00000000-0005-0000-0000-00008B120000}"/>
    <cellStyle name="Normal 2 8 5 3" xfId="6963" xr:uid="{00000000-0005-0000-0000-00008C120000}"/>
    <cellStyle name="Normal 2 8 6" xfId="4413" xr:uid="{00000000-0005-0000-0000-00008D120000}"/>
    <cellStyle name="Normal 2 8 6 2" xfId="7581" xr:uid="{00000000-0005-0000-0000-00008E120000}"/>
    <cellStyle name="Normal 2 8 7" xfId="6957" xr:uid="{00000000-0005-0000-0000-00008F120000}"/>
    <cellStyle name="Normal 2 9" xfId="3794" xr:uid="{00000000-0005-0000-0000-000090120000}"/>
    <cellStyle name="Normal 2 9 2" xfId="3795" xr:uid="{00000000-0005-0000-0000-000091120000}"/>
    <cellStyle name="Normal 2 9 2 2" xfId="3796" xr:uid="{00000000-0005-0000-0000-000092120000}"/>
    <cellStyle name="Normal 2 9 2 2 2" xfId="4422" xr:uid="{00000000-0005-0000-0000-000093120000}"/>
    <cellStyle name="Normal 2 9 2 2 2 2" xfId="7590" xr:uid="{00000000-0005-0000-0000-000094120000}"/>
    <cellStyle name="Normal 2 9 2 2 3" xfId="6966" xr:uid="{00000000-0005-0000-0000-000095120000}"/>
    <cellStyle name="Normal 2 9 2 3" xfId="3797" xr:uid="{00000000-0005-0000-0000-000096120000}"/>
    <cellStyle name="Normal 2 9 2 3 2" xfId="4423" xr:uid="{00000000-0005-0000-0000-000097120000}"/>
    <cellStyle name="Normal 2 9 2 3 2 2" xfId="7591" xr:uid="{00000000-0005-0000-0000-000098120000}"/>
    <cellStyle name="Normal 2 9 2 3 3" xfId="6967" xr:uid="{00000000-0005-0000-0000-000099120000}"/>
    <cellStyle name="Normal 2 9 2 4" xfId="4421" xr:uid="{00000000-0005-0000-0000-00009A120000}"/>
    <cellStyle name="Normal 2 9 2 4 2" xfId="7589" xr:uid="{00000000-0005-0000-0000-00009B120000}"/>
    <cellStyle name="Normal 2 9 2 5" xfId="6965" xr:uid="{00000000-0005-0000-0000-00009C120000}"/>
    <cellStyle name="Normal 2 9 3" xfId="3798" xr:uid="{00000000-0005-0000-0000-00009D120000}"/>
    <cellStyle name="Normal 2 9 3 2" xfId="4424" xr:uid="{00000000-0005-0000-0000-00009E120000}"/>
    <cellStyle name="Normal 2 9 3 2 2" xfId="7592" xr:uid="{00000000-0005-0000-0000-00009F120000}"/>
    <cellStyle name="Normal 2 9 3 3" xfId="6968" xr:uid="{00000000-0005-0000-0000-0000A0120000}"/>
    <cellStyle name="Normal 2 9 4" xfId="3799" xr:uid="{00000000-0005-0000-0000-0000A1120000}"/>
    <cellStyle name="Normal 2 9 4 2" xfId="4425" xr:uid="{00000000-0005-0000-0000-0000A2120000}"/>
    <cellStyle name="Normal 2 9 4 2 2" xfId="7593" xr:uid="{00000000-0005-0000-0000-0000A3120000}"/>
    <cellStyle name="Normal 2 9 4 3" xfId="6969" xr:uid="{00000000-0005-0000-0000-0000A4120000}"/>
    <cellStyle name="Normal 2 9 5" xfId="4420" xr:uid="{00000000-0005-0000-0000-0000A5120000}"/>
    <cellStyle name="Normal 2 9 5 2" xfId="7588" xr:uid="{00000000-0005-0000-0000-0000A6120000}"/>
    <cellStyle name="Normal 2 9 6" xfId="6964" xr:uid="{00000000-0005-0000-0000-0000A7120000}"/>
    <cellStyle name="Normal 20" xfId="3800" xr:uid="{00000000-0005-0000-0000-0000A8120000}"/>
    <cellStyle name="Normal 20 2" xfId="4426" xr:uid="{00000000-0005-0000-0000-0000A9120000}"/>
    <cellStyle name="Normal 20 2 2" xfId="7594" xr:uid="{00000000-0005-0000-0000-0000AA120000}"/>
    <cellStyle name="Normal 20 3" xfId="6970" xr:uid="{00000000-0005-0000-0000-0000AB120000}"/>
    <cellStyle name="Normal 21" xfId="3801" xr:uid="{00000000-0005-0000-0000-0000AC120000}"/>
    <cellStyle name="Normal 21 2" xfId="4427" xr:uid="{00000000-0005-0000-0000-0000AD120000}"/>
    <cellStyle name="Normal 21 2 2" xfId="7595" xr:uid="{00000000-0005-0000-0000-0000AE120000}"/>
    <cellStyle name="Normal 21 3" xfId="6971" xr:uid="{00000000-0005-0000-0000-0000AF120000}"/>
    <cellStyle name="Normal 22" xfId="3802" xr:uid="{00000000-0005-0000-0000-0000B0120000}"/>
    <cellStyle name="Normal 22 2" xfId="4428" xr:uid="{00000000-0005-0000-0000-0000B1120000}"/>
    <cellStyle name="Normal 22 2 2" xfId="7596" xr:uid="{00000000-0005-0000-0000-0000B2120000}"/>
    <cellStyle name="Normal 22 3" xfId="6972" xr:uid="{00000000-0005-0000-0000-0000B3120000}"/>
    <cellStyle name="Normal 23" xfId="3515" xr:uid="{00000000-0005-0000-0000-0000B4120000}"/>
    <cellStyle name="Normal 23 2" xfId="4156" xr:uid="{00000000-0005-0000-0000-0000B5120000}"/>
    <cellStyle name="Normal 23 2 2" xfId="7324" xr:uid="{00000000-0005-0000-0000-0000B6120000}"/>
    <cellStyle name="Normal 23 3" xfId="6713" xr:uid="{00000000-0005-0000-0000-0000B7120000}"/>
    <cellStyle name="Normal 24" xfId="4728" xr:uid="{00000000-0005-0000-0000-0000B8120000}"/>
    <cellStyle name="Normal 25" xfId="4731" xr:uid="{00000000-0005-0000-0000-0000B9120000}"/>
    <cellStyle name="Normal 26" xfId="4732" xr:uid="{00000000-0005-0000-0000-0000BA120000}"/>
    <cellStyle name="Normal 27" xfId="4733" xr:uid="{00000000-0005-0000-0000-0000BB120000}"/>
    <cellStyle name="Normal 28" xfId="4734" xr:uid="{00000000-0005-0000-0000-0000BC120000}"/>
    <cellStyle name="Normal 29" xfId="4735" xr:uid="{00000000-0005-0000-0000-0000BD120000}"/>
    <cellStyle name="Normal 3" xfId="982" xr:uid="{00000000-0005-0000-0000-0000BE120000}"/>
    <cellStyle name="Normal 3 10" xfId="3804" xr:uid="{00000000-0005-0000-0000-0000BF120000}"/>
    <cellStyle name="Normal 3 10 2" xfId="3805" xr:uid="{00000000-0005-0000-0000-0000C0120000}"/>
    <cellStyle name="Normal 3 10 2 2" xfId="4431" xr:uid="{00000000-0005-0000-0000-0000C1120000}"/>
    <cellStyle name="Normal 3 10 2 2 2" xfId="7599" xr:uid="{00000000-0005-0000-0000-0000C2120000}"/>
    <cellStyle name="Normal 3 10 2 3" xfId="6975" xr:uid="{00000000-0005-0000-0000-0000C3120000}"/>
    <cellStyle name="Normal 3 10 3" xfId="4430" xr:uid="{00000000-0005-0000-0000-0000C4120000}"/>
    <cellStyle name="Normal 3 10 3 2" xfId="7598" xr:uid="{00000000-0005-0000-0000-0000C5120000}"/>
    <cellStyle name="Normal 3 10 4" xfId="6974" xr:uid="{00000000-0005-0000-0000-0000C6120000}"/>
    <cellStyle name="Normal 3 11" xfId="3806" xr:uid="{00000000-0005-0000-0000-0000C7120000}"/>
    <cellStyle name="Normal 3 11 2" xfId="4432" xr:uid="{00000000-0005-0000-0000-0000C8120000}"/>
    <cellStyle name="Normal 3 11 2 2" xfId="7600" xr:uid="{00000000-0005-0000-0000-0000C9120000}"/>
    <cellStyle name="Normal 3 11 3" xfId="6976" xr:uid="{00000000-0005-0000-0000-0000CA120000}"/>
    <cellStyle name="Normal 3 12" xfId="3807" xr:uid="{00000000-0005-0000-0000-0000CB120000}"/>
    <cellStyle name="Normal 3 12 2" xfId="4433" xr:uid="{00000000-0005-0000-0000-0000CC120000}"/>
    <cellStyle name="Normal 3 12 2 2" xfId="7601" xr:uid="{00000000-0005-0000-0000-0000CD120000}"/>
    <cellStyle name="Normal 3 12 3" xfId="6977" xr:uid="{00000000-0005-0000-0000-0000CE120000}"/>
    <cellStyle name="Normal 3 13" xfId="3808" xr:uid="{00000000-0005-0000-0000-0000CF120000}"/>
    <cellStyle name="Normal 3 13 2" xfId="4434" xr:uid="{00000000-0005-0000-0000-0000D0120000}"/>
    <cellStyle name="Normal 3 13 2 2" xfId="7602" xr:uid="{00000000-0005-0000-0000-0000D1120000}"/>
    <cellStyle name="Normal 3 13 3" xfId="6978" xr:uid="{00000000-0005-0000-0000-0000D2120000}"/>
    <cellStyle name="Normal 3 14" xfId="3803" xr:uid="{00000000-0005-0000-0000-0000D3120000}"/>
    <cellStyle name="Normal 3 14 2" xfId="4429" xr:uid="{00000000-0005-0000-0000-0000D4120000}"/>
    <cellStyle name="Normal 3 14 2 2" xfId="7597" xr:uid="{00000000-0005-0000-0000-0000D5120000}"/>
    <cellStyle name="Normal 3 14 3" xfId="6973" xr:uid="{00000000-0005-0000-0000-0000D6120000}"/>
    <cellStyle name="Normal 3 15" xfId="3381" xr:uid="{00000000-0005-0000-0000-0000D7120000}"/>
    <cellStyle name="Normal 3 2" xfId="983" xr:uid="{00000000-0005-0000-0000-0000D8120000}"/>
    <cellStyle name="Normal 3 2 10" xfId="6224" xr:uid="{00000000-0005-0000-0000-0000D9120000}"/>
    <cellStyle name="Normal 3 2 2" xfId="984" xr:uid="{00000000-0005-0000-0000-0000DA120000}"/>
    <cellStyle name="Normal 3 2 2 2" xfId="2616" xr:uid="{00000000-0005-0000-0000-0000DB120000}"/>
    <cellStyle name="Normal 3 2 2 2 2" xfId="4437" xr:uid="{00000000-0005-0000-0000-0000DC120000}"/>
    <cellStyle name="Normal 3 2 2 2 2 2" xfId="7605" xr:uid="{00000000-0005-0000-0000-0000DD120000}"/>
    <cellStyle name="Normal 3 2 2 2 3" xfId="3811" xr:uid="{00000000-0005-0000-0000-0000DE120000}"/>
    <cellStyle name="Normal 3 2 2 2 3 2" xfId="6981" xr:uid="{00000000-0005-0000-0000-0000DF120000}"/>
    <cellStyle name="Normal 3 2 2 3" xfId="3328" xr:uid="{00000000-0005-0000-0000-0000E0120000}"/>
    <cellStyle name="Normal 3 2 2 3 2" xfId="4438" xr:uid="{00000000-0005-0000-0000-0000E1120000}"/>
    <cellStyle name="Normal 3 2 2 3 2 2" xfId="7606" xr:uid="{00000000-0005-0000-0000-0000E2120000}"/>
    <cellStyle name="Normal 3 2 2 3 3" xfId="3812" xr:uid="{00000000-0005-0000-0000-0000E3120000}"/>
    <cellStyle name="Normal 3 2 2 3 3 2" xfId="6982" xr:uid="{00000000-0005-0000-0000-0000E4120000}"/>
    <cellStyle name="Normal 3 2 2 3 4" xfId="6632" xr:uid="{00000000-0005-0000-0000-0000E5120000}"/>
    <cellStyle name="Normal 3 2 2 4" xfId="3813" xr:uid="{00000000-0005-0000-0000-0000E6120000}"/>
    <cellStyle name="Normal 3 2 2 4 2" xfId="4439" xr:uid="{00000000-0005-0000-0000-0000E7120000}"/>
    <cellStyle name="Normal 3 2 2 4 2 2" xfId="7607" xr:uid="{00000000-0005-0000-0000-0000E8120000}"/>
    <cellStyle name="Normal 3 2 2 4 3" xfId="6983" xr:uid="{00000000-0005-0000-0000-0000E9120000}"/>
    <cellStyle name="Normal 3 2 2 5" xfId="4436" xr:uid="{00000000-0005-0000-0000-0000EA120000}"/>
    <cellStyle name="Normal 3 2 2 5 2" xfId="7604" xr:uid="{00000000-0005-0000-0000-0000EB120000}"/>
    <cellStyle name="Normal 3 2 2 6" xfId="3810" xr:uid="{00000000-0005-0000-0000-0000EC120000}"/>
    <cellStyle name="Normal 3 2 2 6 2" xfId="6980" xr:uid="{00000000-0005-0000-0000-0000ED120000}"/>
    <cellStyle name="Normal 3 2 3" xfId="2615" xr:uid="{00000000-0005-0000-0000-0000EE120000}"/>
    <cellStyle name="Normal 3 2 3 2" xfId="3305" xr:uid="{00000000-0005-0000-0000-0000EF120000}"/>
    <cellStyle name="Normal 3 2 3 2 2" xfId="4440" xr:uid="{00000000-0005-0000-0000-0000F0120000}"/>
    <cellStyle name="Normal 3 2 3 2 2 2" xfId="7608" xr:uid="{00000000-0005-0000-0000-0000F1120000}"/>
    <cellStyle name="Normal 3 2 3 2 3" xfId="6614" xr:uid="{00000000-0005-0000-0000-0000F2120000}"/>
    <cellStyle name="Normal 3 2 3 3" xfId="3814" xr:uid="{00000000-0005-0000-0000-0000F3120000}"/>
    <cellStyle name="Normal 3 2 3 3 2" xfId="6984" xr:uid="{00000000-0005-0000-0000-0000F4120000}"/>
    <cellStyle name="Normal 3 2 3 4" xfId="5671" xr:uid="{00000000-0005-0000-0000-0000F5120000}"/>
    <cellStyle name="Normal 3 2 3 5" xfId="6593" xr:uid="{00000000-0005-0000-0000-0000F6120000}"/>
    <cellStyle name="Normal 3 2 4" xfId="3321" xr:uid="{00000000-0005-0000-0000-0000F7120000}"/>
    <cellStyle name="Normal 3 2 4 2" xfId="4441" xr:uid="{00000000-0005-0000-0000-0000F8120000}"/>
    <cellStyle name="Normal 3 2 4 2 2" xfId="7609" xr:uid="{00000000-0005-0000-0000-0000F9120000}"/>
    <cellStyle name="Normal 3 2 4 3" xfId="3815" xr:uid="{00000000-0005-0000-0000-0000FA120000}"/>
    <cellStyle name="Normal 3 2 4 3 2" xfId="6985" xr:uid="{00000000-0005-0000-0000-0000FB120000}"/>
    <cellStyle name="Normal 3 2 4 4" xfId="6628" xr:uid="{00000000-0005-0000-0000-0000FC120000}"/>
    <cellStyle name="Normal 3 2 5" xfId="3286" xr:uid="{00000000-0005-0000-0000-0000FD120000}"/>
    <cellStyle name="Normal 3 2 5 2" xfId="4442" xr:uid="{00000000-0005-0000-0000-0000FE120000}"/>
    <cellStyle name="Normal 3 2 5 2 2" xfId="7610" xr:uid="{00000000-0005-0000-0000-0000FF120000}"/>
    <cellStyle name="Normal 3 2 5 3" xfId="3816" xr:uid="{00000000-0005-0000-0000-000000130000}"/>
    <cellStyle name="Normal 3 2 5 3 2" xfId="6986" xr:uid="{00000000-0005-0000-0000-000001130000}"/>
    <cellStyle name="Normal 3 2 5 4" xfId="6604" xr:uid="{00000000-0005-0000-0000-000002130000}"/>
    <cellStyle name="Normal 3 2 6" xfId="3817" xr:uid="{00000000-0005-0000-0000-000003130000}"/>
    <cellStyle name="Normal 3 2 6 2" xfId="4443" xr:uid="{00000000-0005-0000-0000-000004130000}"/>
    <cellStyle name="Normal 3 2 6 2 2" xfId="7611" xr:uid="{00000000-0005-0000-0000-000005130000}"/>
    <cellStyle name="Normal 3 2 6 3" xfId="6987" xr:uid="{00000000-0005-0000-0000-000006130000}"/>
    <cellStyle name="Normal 3 2 7" xfId="3809" xr:uid="{00000000-0005-0000-0000-000007130000}"/>
    <cellStyle name="Normal 3 2 7 2" xfId="4435" xr:uid="{00000000-0005-0000-0000-000008130000}"/>
    <cellStyle name="Normal 3 2 7 2 2" xfId="7603" xr:uid="{00000000-0005-0000-0000-000009130000}"/>
    <cellStyle name="Normal 3 2 7 3" xfId="6979" xr:uid="{00000000-0005-0000-0000-00000A130000}"/>
    <cellStyle name="Normal 3 2 8" xfId="3505" xr:uid="{00000000-0005-0000-0000-00000B130000}"/>
    <cellStyle name="Normal 3 2 9" xfId="5299" xr:uid="{00000000-0005-0000-0000-00000C130000}"/>
    <cellStyle name="Normal 3 3" xfId="985" xr:uid="{00000000-0005-0000-0000-00000D130000}"/>
    <cellStyle name="Normal 3 3 10" xfId="6225" xr:uid="{00000000-0005-0000-0000-00000E130000}"/>
    <cellStyle name="Normal 3 3 2" xfId="2617" xr:uid="{00000000-0005-0000-0000-00000F130000}"/>
    <cellStyle name="Normal 3 3 2 2" xfId="3306" xr:uid="{00000000-0005-0000-0000-000010130000}"/>
    <cellStyle name="Normal 3 3 2 2 2" xfId="4446" xr:uid="{00000000-0005-0000-0000-000011130000}"/>
    <cellStyle name="Normal 3 3 2 2 2 2" xfId="7614" xr:uid="{00000000-0005-0000-0000-000012130000}"/>
    <cellStyle name="Normal 3 3 2 2 3" xfId="3820" xr:uid="{00000000-0005-0000-0000-000013130000}"/>
    <cellStyle name="Normal 3 3 2 2 3 2" xfId="6990" xr:uid="{00000000-0005-0000-0000-000014130000}"/>
    <cellStyle name="Normal 3 3 2 2 4" xfId="6615" xr:uid="{00000000-0005-0000-0000-000015130000}"/>
    <cellStyle name="Normal 3 3 2 3" xfId="3821" xr:uid="{00000000-0005-0000-0000-000016130000}"/>
    <cellStyle name="Normal 3 3 2 3 2" xfId="4447" xr:uid="{00000000-0005-0000-0000-000017130000}"/>
    <cellStyle name="Normal 3 3 2 3 2 2" xfId="7615" xr:uid="{00000000-0005-0000-0000-000018130000}"/>
    <cellStyle name="Normal 3 3 2 3 3" xfId="6991" xr:uid="{00000000-0005-0000-0000-000019130000}"/>
    <cellStyle name="Normal 3 3 2 4" xfId="4445" xr:uid="{00000000-0005-0000-0000-00001A130000}"/>
    <cellStyle name="Normal 3 3 2 4 2" xfId="7613" xr:uid="{00000000-0005-0000-0000-00001B130000}"/>
    <cellStyle name="Normal 3 3 2 5" xfId="3819" xr:uid="{00000000-0005-0000-0000-00001C130000}"/>
    <cellStyle name="Normal 3 3 2 5 2" xfId="6989" xr:uid="{00000000-0005-0000-0000-00001D130000}"/>
    <cellStyle name="Normal 3 3 2 6" xfId="5672" xr:uid="{00000000-0005-0000-0000-00001E130000}"/>
    <cellStyle name="Normal 3 3 2 7" xfId="6594" xr:uid="{00000000-0005-0000-0000-00001F130000}"/>
    <cellStyle name="Normal 3 3 3" xfId="3327" xr:uid="{00000000-0005-0000-0000-000020130000}"/>
    <cellStyle name="Normal 3 3 3 2" xfId="4448" xr:uid="{00000000-0005-0000-0000-000021130000}"/>
    <cellStyle name="Normal 3 3 3 2 2" xfId="7616" xr:uid="{00000000-0005-0000-0000-000022130000}"/>
    <cellStyle name="Normal 3 3 3 3" xfId="3822" xr:uid="{00000000-0005-0000-0000-000023130000}"/>
    <cellStyle name="Normal 3 3 3 3 2" xfId="6992" xr:uid="{00000000-0005-0000-0000-000024130000}"/>
    <cellStyle name="Normal 3 3 3 4" xfId="6631" xr:uid="{00000000-0005-0000-0000-000025130000}"/>
    <cellStyle name="Normal 3 3 4" xfId="3287" xr:uid="{00000000-0005-0000-0000-000026130000}"/>
    <cellStyle name="Normal 3 3 4 2" xfId="4449" xr:uid="{00000000-0005-0000-0000-000027130000}"/>
    <cellStyle name="Normal 3 3 4 2 2" xfId="7617" xr:uid="{00000000-0005-0000-0000-000028130000}"/>
    <cellStyle name="Normal 3 3 4 3" xfId="3823" xr:uid="{00000000-0005-0000-0000-000029130000}"/>
    <cellStyle name="Normal 3 3 4 3 2" xfId="6993" xr:uid="{00000000-0005-0000-0000-00002A130000}"/>
    <cellStyle name="Normal 3 3 4 4" xfId="6605" xr:uid="{00000000-0005-0000-0000-00002B130000}"/>
    <cellStyle name="Normal 3 3 5" xfId="3824" xr:uid="{00000000-0005-0000-0000-00002C130000}"/>
    <cellStyle name="Normal 3 3 5 2" xfId="4450" xr:uid="{00000000-0005-0000-0000-00002D130000}"/>
    <cellStyle name="Normal 3 3 5 2 2" xfId="7618" xr:uid="{00000000-0005-0000-0000-00002E130000}"/>
    <cellStyle name="Normal 3 3 5 3" xfId="6994" xr:uid="{00000000-0005-0000-0000-00002F130000}"/>
    <cellStyle name="Normal 3 3 6" xfId="3825" xr:uid="{00000000-0005-0000-0000-000030130000}"/>
    <cellStyle name="Normal 3 3 6 2" xfId="4451" xr:uid="{00000000-0005-0000-0000-000031130000}"/>
    <cellStyle name="Normal 3 3 6 2 2" xfId="7619" xr:uid="{00000000-0005-0000-0000-000032130000}"/>
    <cellStyle name="Normal 3 3 6 3" xfId="6995" xr:uid="{00000000-0005-0000-0000-000033130000}"/>
    <cellStyle name="Normal 3 3 7" xfId="4444" xr:uid="{00000000-0005-0000-0000-000034130000}"/>
    <cellStyle name="Normal 3 3 7 2" xfId="7612" xr:uid="{00000000-0005-0000-0000-000035130000}"/>
    <cellStyle name="Normal 3 3 8" xfId="3818" xr:uid="{00000000-0005-0000-0000-000036130000}"/>
    <cellStyle name="Normal 3 3 8 2" xfId="6988" xr:uid="{00000000-0005-0000-0000-000037130000}"/>
    <cellStyle name="Normal 3 3 9" xfId="5300" xr:uid="{00000000-0005-0000-0000-000038130000}"/>
    <cellStyle name="Normal 3 4" xfId="3320" xr:uid="{00000000-0005-0000-0000-000039130000}"/>
    <cellStyle name="Normal 3 4 10" xfId="6627" xr:uid="{00000000-0005-0000-0000-00003A130000}"/>
    <cellStyle name="Normal 3 4 2" xfId="3827" xr:uid="{00000000-0005-0000-0000-00003B130000}"/>
    <cellStyle name="Normal 3 4 2 2" xfId="3828" xr:uid="{00000000-0005-0000-0000-00003C130000}"/>
    <cellStyle name="Normal 3 4 2 2 2" xfId="4454" xr:uid="{00000000-0005-0000-0000-00003D130000}"/>
    <cellStyle name="Normal 3 4 2 2 2 2" xfId="7622" xr:uid="{00000000-0005-0000-0000-00003E130000}"/>
    <cellStyle name="Normal 3 4 2 2 3" xfId="6998" xr:uid="{00000000-0005-0000-0000-00003F130000}"/>
    <cellStyle name="Normal 3 4 2 3" xfId="3829" xr:uid="{00000000-0005-0000-0000-000040130000}"/>
    <cellStyle name="Normal 3 4 2 3 2" xfId="4455" xr:uid="{00000000-0005-0000-0000-000041130000}"/>
    <cellStyle name="Normal 3 4 2 3 2 2" xfId="7623" xr:uid="{00000000-0005-0000-0000-000042130000}"/>
    <cellStyle name="Normal 3 4 2 3 3" xfId="6999" xr:uid="{00000000-0005-0000-0000-000043130000}"/>
    <cellStyle name="Normal 3 4 2 4" xfId="4453" xr:uid="{00000000-0005-0000-0000-000044130000}"/>
    <cellStyle name="Normal 3 4 2 4 2" xfId="7621" xr:uid="{00000000-0005-0000-0000-000045130000}"/>
    <cellStyle name="Normal 3 4 2 5" xfId="6997" xr:uid="{00000000-0005-0000-0000-000046130000}"/>
    <cellStyle name="Normal 3 4 3" xfId="3830" xr:uid="{00000000-0005-0000-0000-000047130000}"/>
    <cellStyle name="Normal 3 4 3 2" xfId="4456" xr:uid="{00000000-0005-0000-0000-000048130000}"/>
    <cellStyle name="Normal 3 4 3 2 2" xfId="7624" xr:uid="{00000000-0005-0000-0000-000049130000}"/>
    <cellStyle name="Normal 3 4 3 3" xfId="7000" xr:uid="{00000000-0005-0000-0000-00004A130000}"/>
    <cellStyle name="Normal 3 4 4" xfId="3831" xr:uid="{00000000-0005-0000-0000-00004B130000}"/>
    <cellStyle name="Normal 3 4 4 2" xfId="4457" xr:uid="{00000000-0005-0000-0000-00004C130000}"/>
    <cellStyle name="Normal 3 4 4 2 2" xfId="7625" xr:uid="{00000000-0005-0000-0000-00004D130000}"/>
    <cellStyle name="Normal 3 4 4 3" xfId="7001" xr:uid="{00000000-0005-0000-0000-00004E130000}"/>
    <cellStyle name="Normal 3 4 5" xfId="3832" xr:uid="{00000000-0005-0000-0000-00004F130000}"/>
    <cellStyle name="Normal 3 4 5 2" xfId="4458" xr:uid="{00000000-0005-0000-0000-000050130000}"/>
    <cellStyle name="Normal 3 4 5 2 2" xfId="7626" xr:uid="{00000000-0005-0000-0000-000051130000}"/>
    <cellStyle name="Normal 3 4 5 3" xfId="7002" xr:uid="{00000000-0005-0000-0000-000052130000}"/>
    <cellStyle name="Normal 3 4 6" xfId="3833" xr:uid="{00000000-0005-0000-0000-000053130000}"/>
    <cellStyle name="Normal 3 4 6 2" xfId="4459" xr:uid="{00000000-0005-0000-0000-000054130000}"/>
    <cellStyle name="Normal 3 4 6 2 2" xfId="7627" xr:uid="{00000000-0005-0000-0000-000055130000}"/>
    <cellStyle name="Normal 3 4 6 3" xfId="7003" xr:uid="{00000000-0005-0000-0000-000056130000}"/>
    <cellStyle name="Normal 3 4 7" xfId="4452" xr:uid="{00000000-0005-0000-0000-000057130000}"/>
    <cellStyle name="Normal 3 4 7 2" xfId="7620" xr:uid="{00000000-0005-0000-0000-000058130000}"/>
    <cellStyle name="Normal 3 4 8" xfId="3826" xr:uid="{00000000-0005-0000-0000-000059130000}"/>
    <cellStyle name="Normal 3 4 8 2" xfId="6996" xr:uid="{00000000-0005-0000-0000-00005A130000}"/>
    <cellStyle name="Normal 3 4 9" xfId="5298" xr:uid="{00000000-0005-0000-0000-00005B130000}"/>
    <cellStyle name="Normal 3 5" xfId="3834" xr:uid="{00000000-0005-0000-0000-00005C130000}"/>
    <cellStyle name="Normal 3 5 2" xfId="3835" xr:uid="{00000000-0005-0000-0000-00005D130000}"/>
    <cellStyle name="Normal 3 5 2 2" xfId="3836" xr:uid="{00000000-0005-0000-0000-00005E130000}"/>
    <cellStyle name="Normal 3 5 2 2 2" xfId="4462" xr:uid="{00000000-0005-0000-0000-00005F130000}"/>
    <cellStyle name="Normal 3 5 2 2 2 2" xfId="7630" xr:uid="{00000000-0005-0000-0000-000060130000}"/>
    <cellStyle name="Normal 3 5 2 2 3" xfId="7006" xr:uid="{00000000-0005-0000-0000-000061130000}"/>
    <cellStyle name="Normal 3 5 2 3" xfId="3837" xr:uid="{00000000-0005-0000-0000-000062130000}"/>
    <cellStyle name="Normal 3 5 2 3 2" xfId="4463" xr:uid="{00000000-0005-0000-0000-000063130000}"/>
    <cellStyle name="Normal 3 5 2 3 2 2" xfId="7631" xr:uid="{00000000-0005-0000-0000-000064130000}"/>
    <cellStyle name="Normal 3 5 2 3 3" xfId="7007" xr:uid="{00000000-0005-0000-0000-000065130000}"/>
    <cellStyle name="Normal 3 5 2 4" xfId="4461" xr:uid="{00000000-0005-0000-0000-000066130000}"/>
    <cellStyle name="Normal 3 5 2 4 2" xfId="7629" xr:uid="{00000000-0005-0000-0000-000067130000}"/>
    <cellStyle name="Normal 3 5 2 5" xfId="7005" xr:uid="{00000000-0005-0000-0000-000068130000}"/>
    <cellStyle name="Normal 3 5 3" xfId="3838" xr:uid="{00000000-0005-0000-0000-000069130000}"/>
    <cellStyle name="Normal 3 5 3 2" xfId="4464" xr:uid="{00000000-0005-0000-0000-00006A130000}"/>
    <cellStyle name="Normal 3 5 3 2 2" xfId="7632" xr:uid="{00000000-0005-0000-0000-00006B130000}"/>
    <cellStyle name="Normal 3 5 3 3" xfId="7008" xr:uid="{00000000-0005-0000-0000-00006C130000}"/>
    <cellStyle name="Normal 3 5 4" xfId="3839" xr:uid="{00000000-0005-0000-0000-00006D130000}"/>
    <cellStyle name="Normal 3 5 4 2" xfId="4465" xr:uid="{00000000-0005-0000-0000-00006E130000}"/>
    <cellStyle name="Normal 3 5 4 2 2" xfId="7633" xr:uid="{00000000-0005-0000-0000-00006F130000}"/>
    <cellStyle name="Normal 3 5 4 3" xfId="7009" xr:uid="{00000000-0005-0000-0000-000070130000}"/>
    <cellStyle name="Normal 3 5 5" xfId="3840" xr:uid="{00000000-0005-0000-0000-000071130000}"/>
    <cellStyle name="Normal 3 5 5 2" xfId="4466" xr:uid="{00000000-0005-0000-0000-000072130000}"/>
    <cellStyle name="Normal 3 5 5 2 2" xfId="7634" xr:uid="{00000000-0005-0000-0000-000073130000}"/>
    <cellStyle name="Normal 3 5 5 3" xfId="7010" xr:uid="{00000000-0005-0000-0000-000074130000}"/>
    <cellStyle name="Normal 3 5 6" xfId="4460" xr:uid="{00000000-0005-0000-0000-000075130000}"/>
    <cellStyle name="Normal 3 5 6 2" xfId="7628" xr:uid="{00000000-0005-0000-0000-000076130000}"/>
    <cellStyle name="Normal 3 5 7" xfId="7004" xr:uid="{00000000-0005-0000-0000-000077130000}"/>
    <cellStyle name="Normal 3 6" xfId="3841" xr:uid="{00000000-0005-0000-0000-000078130000}"/>
    <cellStyle name="Normal 3 6 2" xfId="3842" xr:uid="{00000000-0005-0000-0000-000079130000}"/>
    <cellStyle name="Normal 3 6 2 2" xfId="3843" xr:uid="{00000000-0005-0000-0000-00007A130000}"/>
    <cellStyle name="Normal 3 6 2 2 2" xfId="4469" xr:uid="{00000000-0005-0000-0000-00007B130000}"/>
    <cellStyle name="Normal 3 6 2 2 2 2" xfId="7637" xr:uid="{00000000-0005-0000-0000-00007C130000}"/>
    <cellStyle name="Normal 3 6 2 2 3" xfId="7013" xr:uid="{00000000-0005-0000-0000-00007D130000}"/>
    <cellStyle name="Normal 3 6 2 3" xfId="3844" xr:uid="{00000000-0005-0000-0000-00007E130000}"/>
    <cellStyle name="Normal 3 6 2 3 2" xfId="4470" xr:uid="{00000000-0005-0000-0000-00007F130000}"/>
    <cellStyle name="Normal 3 6 2 3 2 2" xfId="7638" xr:uid="{00000000-0005-0000-0000-000080130000}"/>
    <cellStyle name="Normal 3 6 2 3 3" xfId="7014" xr:uid="{00000000-0005-0000-0000-000081130000}"/>
    <cellStyle name="Normal 3 6 2 4" xfId="4468" xr:uid="{00000000-0005-0000-0000-000082130000}"/>
    <cellStyle name="Normal 3 6 2 4 2" xfId="7636" xr:uid="{00000000-0005-0000-0000-000083130000}"/>
    <cellStyle name="Normal 3 6 2 5" xfId="7012" xr:uid="{00000000-0005-0000-0000-000084130000}"/>
    <cellStyle name="Normal 3 6 3" xfId="3845" xr:uid="{00000000-0005-0000-0000-000085130000}"/>
    <cellStyle name="Normal 3 6 3 2" xfId="4471" xr:uid="{00000000-0005-0000-0000-000086130000}"/>
    <cellStyle name="Normal 3 6 3 2 2" xfId="7639" xr:uid="{00000000-0005-0000-0000-000087130000}"/>
    <cellStyle name="Normal 3 6 3 3" xfId="7015" xr:uid="{00000000-0005-0000-0000-000088130000}"/>
    <cellStyle name="Normal 3 6 4" xfId="3846" xr:uid="{00000000-0005-0000-0000-000089130000}"/>
    <cellStyle name="Normal 3 6 4 2" xfId="4472" xr:uid="{00000000-0005-0000-0000-00008A130000}"/>
    <cellStyle name="Normal 3 6 4 2 2" xfId="7640" xr:uid="{00000000-0005-0000-0000-00008B130000}"/>
    <cellStyle name="Normal 3 6 4 3" xfId="7016" xr:uid="{00000000-0005-0000-0000-00008C130000}"/>
    <cellStyle name="Normal 3 6 5" xfId="3847" xr:uid="{00000000-0005-0000-0000-00008D130000}"/>
    <cellStyle name="Normal 3 6 5 2" xfId="4473" xr:uid="{00000000-0005-0000-0000-00008E130000}"/>
    <cellStyle name="Normal 3 6 5 2 2" xfId="7641" xr:uid="{00000000-0005-0000-0000-00008F130000}"/>
    <cellStyle name="Normal 3 6 5 3" xfId="7017" xr:uid="{00000000-0005-0000-0000-000090130000}"/>
    <cellStyle name="Normal 3 6 6" xfId="4467" xr:uid="{00000000-0005-0000-0000-000091130000}"/>
    <cellStyle name="Normal 3 6 6 2" xfId="7635" xr:uid="{00000000-0005-0000-0000-000092130000}"/>
    <cellStyle name="Normal 3 6 7" xfId="7011" xr:uid="{00000000-0005-0000-0000-000093130000}"/>
    <cellStyle name="Normal 3 7" xfId="3848" xr:uid="{00000000-0005-0000-0000-000094130000}"/>
    <cellStyle name="Normal 3 7 2" xfId="3849" xr:uid="{00000000-0005-0000-0000-000095130000}"/>
    <cellStyle name="Normal 3 7 2 2" xfId="3850" xr:uid="{00000000-0005-0000-0000-000096130000}"/>
    <cellStyle name="Normal 3 7 2 2 2" xfId="4476" xr:uid="{00000000-0005-0000-0000-000097130000}"/>
    <cellStyle name="Normal 3 7 2 2 2 2" xfId="7644" xr:uid="{00000000-0005-0000-0000-000098130000}"/>
    <cellStyle name="Normal 3 7 2 2 3" xfId="7020" xr:uid="{00000000-0005-0000-0000-000099130000}"/>
    <cellStyle name="Normal 3 7 2 3" xfId="3851" xr:uid="{00000000-0005-0000-0000-00009A130000}"/>
    <cellStyle name="Normal 3 7 2 3 2" xfId="4477" xr:uid="{00000000-0005-0000-0000-00009B130000}"/>
    <cellStyle name="Normal 3 7 2 3 2 2" xfId="7645" xr:uid="{00000000-0005-0000-0000-00009C130000}"/>
    <cellStyle name="Normal 3 7 2 3 3" xfId="7021" xr:uid="{00000000-0005-0000-0000-00009D130000}"/>
    <cellStyle name="Normal 3 7 2 4" xfId="4475" xr:uid="{00000000-0005-0000-0000-00009E130000}"/>
    <cellStyle name="Normal 3 7 2 4 2" xfId="7643" xr:uid="{00000000-0005-0000-0000-00009F130000}"/>
    <cellStyle name="Normal 3 7 2 5" xfId="7019" xr:uid="{00000000-0005-0000-0000-0000A0130000}"/>
    <cellStyle name="Normal 3 7 3" xfId="3852" xr:uid="{00000000-0005-0000-0000-0000A1130000}"/>
    <cellStyle name="Normal 3 7 3 2" xfId="4478" xr:uid="{00000000-0005-0000-0000-0000A2130000}"/>
    <cellStyle name="Normal 3 7 3 2 2" xfId="7646" xr:uid="{00000000-0005-0000-0000-0000A3130000}"/>
    <cellStyle name="Normal 3 7 3 3" xfId="7022" xr:uid="{00000000-0005-0000-0000-0000A4130000}"/>
    <cellStyle name="Normal 3 7 4" xfId="3853" xr:uid="{00000000-0005-0000-0000-0000A5130000}"/>
    <cellStyle name="Normal 3 7 4 2" xfId="4479" xr:uid="{00000000-0005-0000-0000-0000A6130000}"/>
    <cellStyle name="Normal 3 7 4 2 2" xfId="7647" xr:uid="{00000000-0005-0000-0000-0000A7130000}"/>
    <cellStyle name="Normal 3 7 4 3" xfId="7023" xr:uid="{00000000-0005-0000-0000-0000A8130000}"/>
    <cellStyle name="Normal 3 7 5" xfId="3854" xr:uid="{00000000-0005-0000-0000-0000A9130000}"/>
    <cellStyle name="Normal 3 7 5 2" xfId="4480" xr:uid="{00000000-0005-0000-0000-0000AA130000}"/>
    <cellStyle name="Normal 3 7 5 2 2" xfId="7648" xr:uid="{00000000-0005-0000-0000-0000AB130000}"/>
    <cellStyle name="Normal 3 7 5 3" xfId="7024" xr:uid="{00000000-0005-0000-0000-0000AC130000}"/>
    <cellStyle name="Normal 3 7 6" xfId="4474" xr:uid="{00000000-0005-0000-0000-0000AD130000}"/>
    <cellStyle name="Normal 3 7 6 2" xfId="7642" xr:uid="{00000000-0005-0000-0000-0000AE130000}"/>
    <cellStyle name="Normal 3 7 7" xfId="7018" xr:uid="{00000000-0005-0000-0000-0000AF130000}"/>
    <cellStyle name="Normal 3 8" xfId="3855" xr:uid="{00000000-0005-0000-0000-0000B0130000}"/>
    <cellStyle name="Normal 3 8 2" xfId="3856" xr:uid="{00000000-0005-0000-0000-0000B1130000}"/>
    <cellStyle name="Normal 3 8 2 2" xfId="3857" xr:uid="{00000000-0005-0000-0000-0000B2130000}"/>
    <cellStyle name="Normal 3 8 2 2 2" xfId="4483" xr:uid="{00000000-0005-0000-0000-0000B3130000}"/>
    <cellStyle name="Normal 3 8 2 2 2 2" xfId="7651" xr:uid="{00000000-0005-0000-0000-0000B4130000}"/>
    <cellStyle name="Normal 3 8 2 2 3" xfId="7027" xr:uid="{00000000-0005-0000-0000-0000B5130000}"/>
    <cellStyle name="Normal 3 8 2 3" xfId="3858" xr:uid="{00000000-0005-0000-0000-0000B6130000}"/>
    <cellStyle name="Normal 3 8 2 3 2" xfId="4484" xr:uid="{00000000-0005-0000-0000-0000B7130000}"/>
    <cellStyle name="Normal 3 8 2 3 2 2" xfId="7652" xr:uid="{00000000-0005-0000-0000-0000B8130000}"/>
    <cellStyle name="Normal 3 8 2 3 3" xfId="7028" xr:uid="{00000000-0005-0000-0000-0000B9130000}"/>
    <cellStyle name="Normal 3 8 2 4" xfId="4482" xr:uid="{00000000-0005-0000-0000-0000BA130000}"/>
    <cellStyle name="Normal 3 8 2 4 2" xfId="7650" xr:uid="{00000000-0005-0000-0000-0000BB130000}"/>
    <cellStyle name="Normal 3 8 2 5" xfId="7026" xr:uid="{00000000-0005-0000-0000-0000BC130000}"/>
    <cellStyle name="Normal 3 8 3" xfId="3859" xr:uid="{00000000-0005-0000-0000-0000BD130000}"/>
    <cellStyle name="Normal 3 8 3 2" xfId="4485" xr:uid="{00000000-0005-0000-0000-0000BE130000}"/>
    <cellStyle name="Normal 3 8 3 2 2" xfId="7653" xr:uid="{00000000-0005-0000-0000-0000BF130000}"/>
    <cellStyle name="Normal 3 8 3 3" xfId="7029" xr:uid="{00000000-0005-0000-0000-0000C0130000}"/>
    <cellStyle name="Normal 3 8 4" xfId="3860" xr:uid="{00000000-0005-0000-0000-0000C1130000}"/>
    <cellStyle name="Normal 3 8 4 2" xfId="4486" xr:uid="{00000000-0005-0000-0000-0000C2130000}"/>
    <cellStyle name="Normal 3 8 4 2 2" xfId="7654" xr:uid="{00000000-0005-0000-0000-0000C3130000}"/>
    <cellStyle name="Normal 3 8 4 3" xfId="7030" xr:uid="{00000000-0005-0000-0000-0000C4130000}"/>
    <cellStyle name="Normal 3 8 5" xfId="3861" xr:uid="{00000000-0005-0000-0000-0000C5130000}"/>
    <cellStyle name="Normal 3 8 5 2" xfId="4487" xr:uid="{00000000-0005-0000-0000-0000C6130000}"/>
    <cellStyle name="Normal 3 8 5 2 2" xfId="7655" xr:uid="{00000000-0005-0000-0000-0000C7130000}"/>
    <cellStyle name="Normal 3 8 5 3" xfId="7031" xr:uid="{00000000-0005-0000-0000-0000C8130000}"/>
    <cellStyle name="Normal 3 8 6" xfId="4481" xr:uid="{00000000-0005-0000-0000-0000C9130000}"/>
    <cellStyle name="Normal 3 8 6 2" xfId="7649" xr:uid="{00000000-0005-0000-0000-0000CA130000}"/>
    <cellStyle name="Normal 3 8 7" xfId="7025" xr:uid="{00000000-0005-0000-0000-0000CB130000}"/>
    <cellStyle name="Normal 3 9" xfId="3862" xr:uid="{00000000-0005-0000-0000-0000CC130000}"/>
    <cellStyle name="Normal 3 9 2" xfId="3863" xr:uid="{00000000-0005-0000-0000-0000CD130000}"/>
    <cellStyle name="Normal 3 9 2 2" xfId="4489" xr:uid="{00000000-0005-0000-0000-0000CE130000}"/>
    <cellStyle name="Normal 3 9 2 2 2" xfId="7657" xr:uid="{00000000-0005-0000-0000-0000CF130000}"/>
    <cellStyle name="Normal 3 9 2 3" xfId="7033" xr:uid="{00000000-0005-0000-0000-0000D0130000}"/>
    <cellStyle name="Normal 3 9 3" xfId="3864" xr:uid="{00000000-0005-0000-0000-0000D1130000}"/>
    <cellStyle name="Normal 3 9 3 2" xfId="4490" xr:uid="{00000000-0005-0000-0000-0000D2130000}"/>
    <cellStyle name="Normal 3 9 3 2 2" xfId="7658" xr:uid="{00000000-0005-0000-0000-0000D3130000}"/>
    <cellStyle name="Normal 3 9 3 3" xfId="7034" xr:uid="{00000000-0005-0000-0000-0000D4130000}"/>
    <cellStyle name="Normal 3 9 4" xfId="4488" xr:uid="{00000000-0005-0000-0000-0000D5130000}"/>
    <cellStyle name="Normal 3 9 4 2" xfId="7656" xr:uid="{00000000-0005-0000-0000-0000D6130000}"/>
    <cellStyle name="Normal 3 9 5" xfId="7032" xr:uid="{00000000-0005-0000-0000-0000D7130000}"/>
    <cellStyle name="Normal 30" xfId="4736" xr:uid="{00000000-0005-0000-0000-0000D8130000}"/>
    <cellStyle name="Normal 31" xfId="4737" xr:uid="{00000000-0005-0000-0000-0000D9130000}"/>
    <cellStyle name="Normal 32" xfId="4738" xr:uid="{00000000-0005-0000-0000-0000DA130000}"/>
    <cellStyle name="Normal 33" xfId="3371" xr:uid="{00000000-0005-0000-0000-0000DB130000}"/>
    <cellStyle name="Normal 34" xfId="4739" xr:uid="{00000000-0005-0000-0000-0000DC130000}"/>
    <cellStyle name="Normal 35" xfId="7901" xr:uid="{2B26FAB3-3589-4559-BC67-E8035B1E70E3}"/>
    <cellStyle name="Normal 4" xfId="986" xr:uid="{00000000-0005-0000-0000-0000DD130000}"/>
    <cellStyle name="Normal 4 2" xfId="987" xr:uid="{00000000-0005-0000-0000-0000DE130000}"/>
    <cellStyle name="Normal 4 2 2" xfId="2618" xr:uid="{00000000-0005-0000-0000-0000DF130000}"/>
    <cellStyle name="Normal 4 2 3" xfId="3448" xr:uid="{00000000-0005-0000-0000-0000E0130000}"/>
    <cellStyle name="Normal 4 3" xfId="3460" xr:uid="{00000000-0005-0000-0000-0000E1130000}"/>
    <cellStyle name="Normal 4 3 2" xfId="3476" xr:uid="{00000000-0005-0000-0000-0000E2130000}"/>
    <cellStyle name="Normal 4 3 2 2" xfId="4127" xr:uid="{00000000-0005-0000-0000-0000E3130000}"/>
    <cellStyle name="Normal 4 3 2 2 2" xfId="7295" xr:uid="{00000000-0005-0000-0000-0000E4130000}"/>
    <cellStyle name="Normal 4 3 2 3" xfId="6684" xr:uid="{00000000-0005-0000-0000-0000E5130000}"/>
    <cellStyle name="Normal 4 3 3" xfId="3492" xr:uid="{00000000-0005-0000-0000-0000E6130000}"/>
    <cellStyle name="Normal 4 3 3 2" xfId="4143" xr:uid="{00000000-0005-0000-0000-0000E7130000}"/>
    <cellStyle name="Normal 4 3 3 2 2" xfId="7311" xr:uid="{00000000-0005-0000-0000-0000E8130000}"/>
    <cellStyle name="Normal 4 3 3 3" xfId="6700" xr:uid="{00000000-0005-0000-0000-0000E9130000}"/>
    <cellStyle name="Normal 4 3 4" xfId="3518" xr:uid="{00000000-0005-0000-0000-0000EA130000}"/>
    <cellStyle name="Normal 4 3 5" xfId="4111" xr:uid="{00000000-0005-0000-0000-0000EB130000}"/>
    <cellStyle name="Normal 4 3 5 2" xfId="7279" xr:uid="{00000000-0005-0000-0000-0000EC130000}"/>
    <cellStyle name="Normal 4 3 6" xfId="5301" xr:uid="{00000000-0005-0000-0000-0000ED130000}"/>
    <cellStyle name="Normal 4 3 7" xfId="6668" xr:uid="{00000000-0005-0000-0000-0000EE130000}"/>
    <cellStyle name="Normal 4 4" xfId="3468" xr:uid="{00000000-0005-0000-0000-0000EF130000}"/>
    <cellStyle name="Normal 4 4 2" xfId="4119" xr:uid="{00000000-0005-0000-0000-0000F0130000}"/>
    <cellStyle name="Normal 4 4 2 2" xfId="7287" xr:uid="{00000000-0005-0000-0000-0000F1130000}"/>
    <cellStyle name="Normal 4 4 3" xfId="6676" xr:uid="{00000000-0005-0000-0000-0000F2130000}"/>
    <cellStyle name="Normal 4 5" xfId="3484" xr:uid="{00000000-0005-0000-0000-0000F3130000}"/>
    <cellStyle name="Normal 4 5 2" xfId="4135" xr:uid="{00000000-0005-0000-0000-0000F4130000}"/>
    <cellStyle name="Normal 4 5 2 2" xfId="7303" xr:uid="{00000000-0005-0000-0000-0000F5130000}"/>
    <cellStyle name="Normal 4 5 3" xfId="6692" xr:uid="{00000000-0005-0000-0000-0000F6130000}"/>
    <cellStyle name="Normal 4 6" xfId="3510" xr:uid="{00000000-0005-0000-0000-0000F7130000}"/>
    <cellStyle name="Normal 4 7" xfId="4103" xr:uid="{00000000-0005-0000-0000-0000F8130000}"/>
    <cellStyle name="Normal 4 7 2" xfId="7271" xr:uid="{00000000-0005-0000-0000-0000F9130000}"/>
    <cellStyle name="Normal 4 8" xfId="3384" xr:uid="{00000000-0005-0000-0000-0000FA130000}"/>
    <cellStyle name="Normal 4 8 2" xfId="6652" xr:uid="{00000000-0005-0000-0000-0000FB130000}"/>
    <cellStyle name="Normal 42" xfId="7897" xr:uid="{00000000-0005-0000-0000-0000FC130000}"/>
    <cellStyle name="Normal 5" xfId="988" xr:uid="{00000000-0005-0000-0000-0000FD130000}"/>
    <cellStyle name="Normal 5 10" xfId="3866" xr:uid="{00000000-0005-0000-0000-0000FE130000}"/>
    <cellStyle name="Normal 5 10 2" xfId="4492" xr:uid="{00000000-0005-0000-0000-0000FF130000}"/>
    <cellStyle name="Normal 5 10 2 2" xfId="7660" xr:uid="{00000000-0005-0000-0000-000000140000}"/>
    <cellStyle name="Normal 5 10 3" xfId="7036" xr:uid="{00000000-0005-0000-0000-000001140000}"/>
    <cellStyle name="Normal 5 11" xfId="3867" xr:uid="{00000000-0005-0000-0000-000002140000}"/>
    <cellStyle name="Normal 5 11 2" xfId="4493" xr:uid="{00000000-0005-0000-0000-000003140000}"/>
    <cellStyle name="Normal 5 11 2 2" xfId="7661" xr:uid="{00000000-0005-0000-0000-000004140000}"/>
    <cellStyle name="Normal 5 11 3" xfId="7037" xr:uid="{00000000-0005-0000-0000-000005140000}"/>
    <cellStyle name="Normal 5 12" xfId="3868" xr:uid="{00000000-0005-0000-0000-000006140000}"/>
    <cellStyle name="Normal 5 12 2" xfId="4494" xr:uid="{00000000-0005-0000-0000-000007140000}"/>
    <cellStyle name="Normal 5 12 2 2" xfId="7662" xr:uid="{00000000-0005-0000-0000-000008140000}"/>
    <cellStyle name="Normal 5 12 3" xfId="7038" xr:uid="{00000000-0005-0000-0000-000009140000}"/>
    <cellStyle name="Normal 5 13" xfId="3865" xr:uid="{00000000-0005-0000-0000-00000A140000}"/>
    <cellStyle name="Normal 5 13 2" xfId="4491" xr:uid="{00000000-0005-0000-0000-00000B140000}"/>
    <cellStyle name="Normal 5 13 2 2" xfId="7659" xr:uid="{00000000-0005-0000-0000-00000C140000}"/>
    <cellStyle name="Normal 5 13 3" xfId="7035" xr:uid="{00000000-0005-0000-0000-00000D140000}"/>
    <cellStyle name="Normal 5 14" xfId="3502" xr:uid="{00000000-0005-0000-0000-00000E140000}"/>
    <cellStyle name="Normal 5 15" xfId="3449" xr:uid="{00000000-0005-0000-0000-00000F140000}"/>
    <cellStyle name="Normal 5 2" xfId="2070" xr:uid="{00000000-0005-0000-0000-000010140000}"/>
    <cellStyle name="Normal 5 2 2" xfId="2071" xr:uid="{00000000-0005-0000-0000-000011140000}"/>
    <cellStyle name="Normal 5 2 2 2" xfId="2072" xr:uid="{00000000-0005-0000-0000-000012140000}"/>
    <cellStyle name="Normal 5 2 2 2 2" xfId="4497" xr:uid="{00000000-0005-0000-0000-000013140000}"/>
    <cellStyle name="Normal 5 2 2 2 2 2" xfId="7665" xr:uid="{00000000-0005-0000-0000-000014140000}"/>
    <cellStyle name="Normal 5 2 2 2 3" xfId="3871" xr:uid="{00000000-0005-0000-0000-000015140000}"/>
    <cellStyle name="Normal 5 2 2 2 3 2" xfId="7041" xr:uid="{00000000-0005-0000-0000-000016140000}"/>
    <cellStyle name="Normal 5 2 2 3" xfId="3872" xr:uid="{00000000-0005-0000-0000-000017140000}"/>
    <cellStyle name="Normal 5 2 2 3 2" xfId="4498" xr:uid="{00000000-0005-0000-0000-000018140000}"/>
    <cellStyle name="Normal 5 2 2 3 2 2" xfId="7666" xr:uid="{00000000-0005-0000-0000-000019140000}"/>
    <cellStyle name="Normal 5 2 2 3 3" xfId="7042" xr:uid="{00000000-0005-0000-0000-00001A140000}"/>
    <cellStyle name="Normal 5 2 2 4" xfId="4496" xr:uid="{00000000-0005-0000-0000-00001B140000}"/>
    <cellStyle name="Normal 5 2 2 4 2" xfId="7664" xr:uid="{00000000-0005-0000-0000-00001C140000}"/>
    <cellStyle name="Normal 5 2 2 5" xfId="3870" xr:uid="{00000000-0005-0000-0000-00001D140000}"/>
    <cellStyle name="Normal 5 2 2 5 2" xfId="7040" xr:uid="{00000000-0005-0000-0000-00001E140000}"/>
    <cellStyle name="Normal 5 2 3" xfId="3873" xr:uid="{00000000-0005-0000-0000-00001F140000}"/>
    <cellStyle name="Normal 5 2 3 2" xfId="4499" xr:uid="{00000000-0005-0000-0000-000020140000}"/>
    <cellStyle name="Normal 5 2 3 2 2" xfId="7667" xr:uid="{00000000-0005-0000-0000-000021140000}"/>
    <cellStyle name="Normal 5 2 3 3" xfId="7043" xr:uid="{00000000-0005-0000-0000-000022140000}"/>
    <cellStyle name="Normal 5 2 4" xfId="3874" xr:uid="{00000000-0005-0000-0000-000023140000}"/>
    <cellStyle name="Normal 5 2 4 2" xfId="4500" xr:uid="{00000000-0005-0000-0000-000024140000}"/>
    <cellStyle name="Normal 5 2 4 2 2" xfId="7668" xr:uid="{00000000-0005-0000-0000-000025140000}"/>
    <cellStyle name="Normal 5 2 4 3" xfId="7044" xr:uid="{00000000-0005-0000-0000-000026140000}"/>
    <cellStyle name="Normal 5 2 5" xfId="3875" xr:uid="{00000000-0005-0000-0000-000027140000}"/>
    <cellStyle name="Normal 5 2 5 2" xfId="4501" xr:uid="{00000000-0005-0000-0000-000028140000}"/>
    <cellStyle name="Normal 5 2 5 2 2" xfId="7669" xr:uid="{00000000-0005-0000-0000-000029140000}"/>
    <cellStyle name="Normal 5 2 5 3" xfId="7045" xr:uid="{00000000-0005-0000-0000-00002A140000}"/>
    <cellStyle name="Normal 5 2 6" xfId="3876" xr:uid="{00000000-0005-0000-0000-00002B140000}"/>
    <cellStyle name="Normal 5 2 6 2" xfId="4502" xr:uid="{00000000-0005-0000-0000-00002C140000}"/>
    <cellStyle name="Normal 5 2 6 2 2" xfId="7670" xr:uid="{00000000-0005-0000-0000-00002D140000}"/>
    <cellStyle name="Normal 5 2 6 3" xfId="7046" xr:uid="{00000000-0005-0000-0000-00002E140000}"/>
    <cellStyle name="Normal 5 2 7" xfId="3869" xr:uid="{00000000-0005-0000-0000-00002F140000}"/>
    <cellStyle name="Normal 5 2 7 2" xfId="4495" xr:uid="{00000000-0005-0000-0000-000030140000}"/>
    <cellStyle name="Normal 5 2 7 2 2" xfId="7663" xr:uid="{00000000-0005-0000-0000-000031140000}"/>
    <cellStyle name="Normal 5 2 7 3" xfId="7039" xr:uid="{00000000-0005-0000-0000-000032140000}"/>
    <cellStyle name="Normal 5 2 8" xfId="3519" xr:uid="{00000000-0005-0000-0000-000033140000}"/>
    <cellStyle name="Normal 5 3" xfId="3877" xr:uid="{00000000-0005-0000-0000-000034140000}"/>
    <cellStyle name="Normal 5 3 2" xfId="3878" xr:uid="{00000000-0005-0000-0000-000035140000}"/>
    <cellStyle name="Normal 5 3 2 2" xfId="3879" xr:uid="{00000000-0005-0000-0000-000036140000}"/>
    <cellStyle name="Normal 5 3 2 2 2" xfId="4505" xr:uid="{00000000-0005-0000-0000-000037140000}"/>
    <cellStyle name="Normal 5 3 2 2 2 2" xfId="7673" xr:uid="{00000000-0005-0000-0000-000038140000}"/>
    <cellStyle name="Normal 5 3 2 2 3" xfId="7049" xr:uid="{00000000-0005-0000-0000-000039140000}"/>
    <cellStyle name="Normal 5 3 2 3" xfId="3880" xr:uid="{00000000-0005-0000-0000-00003A140000}"/>
    <cellStyle name="Normal 5 3 2 3 2" xfId="4506" xr:uid="{00000000-0005-0000-0000-00003B140000}"/>
    <cellStyle name="Normal 5 3 2 3 2 2" xfId="7674" xr:uid="{00000000-0005-0000-0000-00003C140000}"/>
    <cellStyle name="Normal 5 3 2 3 3" xfId="7050" xr:uid="{00000000-0005-0000-0000-00003D140000}"/>
    <cellStyle name="Normal 5 3 2 4" xfId="4504" xr:uid="{00000000-0005-0000-0000-00003E140000}"/>
    <cellStyle name="Normal 5 3 2 4 2" xfId="7672" xr:uid="{00000000-0005-0000-0000-00003F140000}"/>
    <cellStyle name="Normal 5 3 2 5" xfId="7048" xr:uid="{00000000-0005-0000-0000-000040140000}"/>
    <cellStyle name="Normal 5 3 3" xfId="3881" xr:uid="{00000000-0005-0000-0000-000041140000}"/>
    <cellStyle name="Normal 5 3 3 2" xfId="4507" xr:uid="{00000000-0005-0000-0000-000042140000}"/>
    <cellStyle name="Normal 5 3 3 2 2" xfId="7675" xr:uid="{00000000-0005-0000-0000-000043140000}"/>
    <cellStyle name="Normal 5 3 3 3" xfId="7051" xr:uid="{00000000-0005-0000-0000-000044140000}"/>
    <cellStyle name="Normal 5 3 4" xfId="3882" xr:uid="{00000000-0005-0000-0000-000045140000}"/>
    <cellStyle name="Normal 5 3 4 2" xfId="4508" xr:uid="{00000000-0005-0000-0000-000046140000}"/>
    <cellStyle name="Normal 5 3 4 2 2" xfId="7676" xr:uid="{00000000-0005-0000-0000-000047140000}"/>
    <cellStyle name="Normal 5 3 4 3" xfId="7052" xr:uid="{00000000-0005-0000-0000-000048140000}"/>
    <cellStyle name="Normal 5 3 5" xfId="3883" xr:uid="{00000000-0005-0000-0000-000049140000}"/>
    <cellStyle name="Normal 5 3 5 2" xfId="4509" xr:uid="{00000000-0005-0000-0000-00004A140000}"/>
    <cellStyle name="Normal 5 3 5 2 2" xfId="7677" xr:uid="{00000000-0005-0000-0000-00004B140000}"/>
    <cellStyle name="Normal 5 3 5 3" xfId="7053" xr:uid="{00000000-0005-0000-0000-00004C140000}"/>
    <cellStyle name="Normal 5 3 6" xfId="3884" xr:uid="{00000000-0005-0000-0000-00004D140000}"/>
    <cellStyle name="Normal 5 3 6 2" xfId="4510" xr:uid="{00000000-0005-0000-0000-00004E140000}"/>
    <cellStyle name="Normal 5 3 6 2 2" xfId="7678" xr:uid="{00000000-0005-0000-0000-00004F140000}"/>
    <cellStyle name="Normal 5 3 6 3" xfId="7054" xr:uid="{00000000-0005-0000-0000-000050140000}"/>
    <cellStyle name="Normal 5 3 7" xfId="4503" xr:uid="{00000000-0005-0000-0000-000051140000}"/>
    <cellStyle name="Normal 5 3 7 2" xfId="7671" xr:uid="{00000000-0005-0000-0000-000052140000}"/>
    <cellStyle name="Normal 5 3 8" xfId="7047" xr:uid="{00000000-0005-0000-0000-000053140000}"/>
    <cellStyle name="Normal 5 4" xfId="3885" xr:uid="{00000000-0005-0000-0000-000054140000}"/>
    <cellStyle name="Normal 5 4 2" xfId="3886" xr:uid="{00000000-0005-0000-0000-000055140000}"/>
    <cellStyle name="Normal 5 4 2 2" xfId="3887" xr:uid="{00000000-0005-0000-0000-000056140000}"/>
    <cellStyle name="Normal 5 4 2 2 2" xfId="4513" xr:uid="{00000000-0005-0000-0000-000057140000}"/>
    <cellStyle name="Normal 5 4 2 2 2 2" xfId="7681" xr:uid="{00000000-0005-0000-0000-000058140000}"/>
    <cellStyle name="Normal 5 4 2 2 3" xfId="7057" xr:uid="{00000000-0005-0000-0000-000059140000}"/>
    <cellStyle name="Normal 5 4 2 3" xfId="3888" xr:uid="{00000000-0005-0000-0000-00005A140000}"/>
    <cellStyle name="Normal 5 4 2 3 2" xfId="4514" xr:uid="{00000000-0005-0000-0000-00005B140000}"/>
    <cellStyle name="Normal 5 4 2 3 2 2" xfId="7682" xr:uid="{00000000-0005-0000-0000-00005C140000}"/>
    <cellStyle name="Normal 5 4 2 3 3" xfId="7058" xr:uid="{00000000-0005-0000-0000-00005D140000}"/>
    <cellStyle name="Normal 5 4 2 4" xfId="4512" xr:uid="{00000000-0005-0000-0000-00005E140000}"/>
    <cellStyle name="Normal 5 4 2 4 2" xfId="7680" xr:uid="{00000000-0005-0000-0000-00005F140000}"/>
    <cellStyle name="Normal 5 4 2 5" xfId="7056" xr:uid="{00000000-0005-0000-0000-000060140000}"/>
    <cellStyle name="Normal 5 4 3" xfId="3889" xr:uid="{00000000-0005-0000-0000-000061140000}"/>
    <cellStyle name="Normal 5 4 3 2" xfId="4515" xr:uid="{00000000-0005-0000-0000-000062140000}"/>
    <cellStyle name="Normal 5 4 3 2 2" xfId="7683" xr:uid="{00000000-0005-0000-0000-000063140000}"/>
    <cellStyle name="Normal 5 4 3 3" xfId="7059" xr:uid="{00000000-0005-0000-0000-000064140000}"/>
    <cellStyle name="Normal 5 4 4" xfId="3890" xr:uid="{00000000-0005-0000-0000-000065140000}"/>
    <cellStyle name="Normal 5 4 4 2" xfId="4516" xr:uid="{00000000-0005-0000-0000-000066140000}"/>
    <cellStyle name="Normal 5 4 4 2 2" xfId="7684" xr:uid="{00000000-0005-0000-0000-000067140000}"/>
    <cellStyle name="Normal 5 4 4 3" xfId="7060" xr:uid="{00000000-0005-0000-0000-000068140000}"/>
    <cellStyle name="Normal 5 4 5" xfId="3891" xr:uid="{00000000-0005-0000-0000-000069140000}"/>
    <cellStyle name="Normal 5 4 5 2" xfId="4517" xr:uid="{00000000-0005-0000-0000-00006A140000}"/>
    <cellStyle name="Normal 5 4 5 2 2" xfId="7685" xr:uid="{00000000-0005-0000-0000-00006B140000}"/>
    <cellStyle name="Normal 5 4 5 3" xfId="7061" xr:uid="{00000000-0005-0000-0000-00006C140000}"/>
    <cellStyle name="Normal 5 4 6" xfId="4511" xr:uid="{00000000-0005-0000-0000-00006D140000}"/>
    <cellStyle name="Normal 5 4 6 2" xfId="7679" xr:uid="{00000000-0005-0000-0000-00006E140000}"/>
    <cellStyle name="Normal 5 4 7" xfId="7055" xr:uid="{00000000-0005-0000-0000-00006F140000}"/>
    <cellStyle name="Normal 5 5" xfId="3892" xr:uid="{00000000-0005-0000-0000-000070140000}"/>
    <cellStyle name="Normal 5 5 2" xfId="3893" xr:uid="{00000000-0005-0000-0000-000071140000}"/>
    <cellStyle name="Normal 5 5 2 2" xfId="3894" xr:uid="{00000000-0005-0000-0000-000072140000}"/>
    <cellStyle name="Normal 5 5 2 2 2" xfId="4520" xr:uid="{00000000-0005-0000-0000-000073140000}"/>
    <cellStyle name="Normal 5 5 2 2 2 2" xfId="7688" xr:uid="{00000000-0005-0000-0000-000074140000}"/>
    <cellStyle name="Normal 5 5 2 2 3" xfId="7064" xr:uid="{00000000-0005-0000-0000-000075140000}"/>
    <cellStyle name="Normal 5 5 2 3" xfId="3895" xr:uid="{00000000-0005-0000-0000-000076140000}"/>
    <cellStyle name="Normal 5 5 2 3 2" xfId="4521" xr:uid="{00000000-0005-0000-0000-000077140000}"/>
    <cellStyle name="Normal 5 5 2 3 2 2" xfId="7689" xr:uid="{00000000-0005-0000-0000-000078140000}"/>
    <cellStyle name="Normal 5 5 2 3 3" xfId="7065" xr:uid="{00000000-0005-0000-0000-000079140000}"/>
    <cellStyle name="Normal 5 5 2 4" xfId="4519" xr:uid="{00000000-0005-0000-0000-00007A140000}"/>
    <cellStyle name="Normal 5 5 2 4 2" xfId="7687" xr:uid="{00000000-0005-0000-0000-00007B140000}"/>
    <cellStyle name="Normal 5 5 2 5" xfId="7063" xr:uid="{00000000-0005-0000-0000-00007C140000}"/>
    <cellStyle name="Normal 5 5 3" xfId="3896" xr:uid="{00000000-0005-0000-0000-00007D140000}"/>
    <cellStyle name="Normal 5 5 3 2" xfId="4522" xr:uid="{00000000-0005-0000-0000-00007E140000}"/>
    <cellStyle name="Normal 5 5 3 2 2" xfId="7690" xr:uid="{00000000-0005-0000-0000-00007F140000}"/>
    <cellStyle name="Normal 5 5 3 3" xfId="7066" xr:uid="{00000000-0005-0000-0000-000080140000}"/>
    <cellStyle name="Normal 5 5 4" xfId="3897" xr:uid="{00000000-0005-0000-0000-000081140000}"/>
    <cellStyle name="Normal 5 5 4 2" xfId="4523" xr:uid="{00000000-0005-0000-0000-000082140000}"/>
    <cellStyle name="Normal 5 5 4 2 2" xfId="7691" xr:uid="{00000000-0005-0000-0000-000083140000}"/>
    <cellStyle name="Normal 5 5 4 3" xfId="7067" xr:uid="{00000000-0005-0000-0000-000084140000}"/>
    <cellStyle name="Normal 5 5 5" xfId="3898" xr:uid="{00000000-0005-0000-0000-000085140000}"/>
    <cellStyle name="Normal 5 5 5 2" xfId="4524" xr:uid="{00000000-0005-0000-0000-000086140000}"/>
    <cellStyle name="Normal 5 5 5 2 2" xfId="7692" xr:uid="{00000000-0005-0000-0000-000087140000}"/>
    <cellStyle name="Normal 5 5 5 3" xfId="7068" xr:uid="{00000000-0005-0000-0000-000088140000}"/>
    <cellStyle name="Normal 5 5 6" xfId="4518" xr:uid="{00000000-0005-0000-0000-000089140000}"/>
    <cellStyle name="Normal 5 5 6 2" xfId="7686" xr:uid="{00000000-0005-0000-0000-00008A140000}"/>
    <cellStyle name="Normal 5 5 7" xfId="7062" xr:uid="{00000000-0005-0000-0000-00008B140000}"/>
    <cellStyle name="Normal 5 6" xfId="3899" xr:uid="{00000000-0005-0000-0000-00008C140000}"/>
    <cellStyle name="Normal 5 6 2" xfId="3900" xr:uid="{00000000-0005-0000-0000-00008D140000}"/>
    <cellStyle name="Normal 5 6 2 2" xfId="3901" xr:uid="{00000000-0005-0000-0000-00008E140000}"/>
    <cellStyle name="Normal 5 6 2 2 2" xfId="4527" xr:uid="{00000000-0005-0000-0000-00008F140000}"/>
    <cellStyle name="Normal 5 6 2 2 2 2" xfId="7695" xr:uid="{00000000-0005-0000-0000-000090140000}"/>
    <cellStyle name="Normal 5 6 2 2 3" xfId="7071" xr:uid="{00000000-0005-0000-0000-000091140000}"/>
    <cellStyle name="Normal 5 6 2 3" xfId="3902" xr:uid="{00000000-0005-0000-0000-000092140000}"/>
    <cellStyle name="Normal 5 6 2 3 2" xfId="4528" xr:uid="{00000000-0005-0000-0000-000093140000}"/>
    <cellStyle name="Normal 5 6 2 3 2 2" xfId="7696" xr:uid="{00000000-0005-0000-0000-000094140000}"/>
    <cellStyle name="Normal 5 6 2 3 3" xfId="7072" xr:uid="{00000000-0005-0000-0000-000095140000}"/>
    <cellStyle name="Normal 5 6 2 4" xfId="4526" xr:uid="{00000000-0005-0000-0000-000096140000}"/>
    <cellStyle name="Normal 5 6 2 4 2" xfId="7694" xr:uid="{00000000-0005-0000-0000-000097140000}"/>
    <cellStyle name="Normal 5 6 2 5" xfId="7070" xr:uid="{00000000-0005-0000-0000-000098140000}"/>
    <cellStyle name="Normal 5 6 3" xfId="3903" xr:uid="{00000000-0005-0000-0000-000099140000}"/>
    <cellStyle name="Normal 5 6 3 2" xfId="4529" xr:uid="{00000000-0005-0000-0000-00009A140000}"/>
    <cellStyle name="Normal 5 6 3 2 2" xfId="7697" xr:uid="{00000000-0005-0000-0000-00009B140000}"/>
    <cellStyle name="Normal 5 6 3 3" xfId="7073" xr:uid="{00000000-0005-0000-0000-00009C140000}"/>
    <cellStyle name="Normal 5 6 4" xfId="3904" xr:uid="{00000000-0005-0000-0000-00009D140000}"/>
    <cellStyle name="Normal 5 6 4 2" xfId="4530" xr:uid="{00000000-0005-0000-0000-00009E140000}"/>
    <cellStyle name="Normal 5 6 4 2 2" xfId="7698" xr:uid="{00000000-0005-0000-0000-00009F140000}"/>
    <cellStyle name="Normal 5 6 4 3" xfId="7074" xr:uid="{00000000-0005-0000-0000-0000A0140000}"/>
    <cellStyle name="Normal 5 6 5" xfId="3905" xr:uid="{00000000-0005-0000-0000-0000A1140000}"/>
    <cellStyle name="Normal 5 6 5 2" xfId="4531" xr:uid="{00000000-0005-0000-0000-0000A2140000}"/>
    <cellStyle name="Normal 5 6 5 2 2" xfId="7699" xr:uid="{00000000-0005-0000-0000-0000A3140000}"/>
    <cellStyle name="Normal 5 6 5 3" xfId="7075" xr:uid="{00000000-0005-0000-0000-0000A4140000}"/>
    <cellStyle name="Normal 5 6 6" xfId="4525" xr:uid="{00000000-0005-0000-0000-0000A5140000}"/>
    <cellStyle name="Normal 5 6 6 2" xfId="7693" xr:uid="{00000000-0005-0000-0000-0000A6140000}"/>
    <cellStyle name="Normal 5 6 7" xfId="7069" xr:uid="{00000000-0005-0000-0000-0000A7140000}"/>
    <cellStyle name="Normal 5 7" xfId="3906" xr:uid="{00000000-0005-0000-0000-0000A8140000}"/>
    <cellStyle name="Normal 5 7 2" xfId="3907" xr:uid="{00000000-0005-0000-0000-0000A9140000}"/>
    <cellStyle name="Normal 5 7 2 2" xfId="3908" xr:uid="{00000000-0005-0000-0000-0000AA140000}"/>
    <cellStyle name="Normal 5 7 2 2 2" xfId="4534" xr:uid="{00000000-0005-0000-0000-0000AB140000}"/>
    <cellStyle name="Normal 5 7 2 2 2 2" xfId="7702" xr:uid="{00000000-0005-0000-0000-0000AC140000}"/>
    <cellStyle name="Normal 5 7 2 2 3" xfId="7078" xr:uid="{00000000-0005-0000-0000-0000AD140000}"/>
    <cellStyle name="Normal 5 7 2 3" xfId="3909" xr:uid="{00000000-0005-0000-0000-0000AE140000}"/>
    <cellStyle name="Normal 5 7 2 3 2" xfId="4535" xr:uid="{00000000-0005-0000-0000-0000AF140000}"/>
    <cellStyle name="Normal 5 7 2 3 2 2" xfId="7703" xr:uid="{00000000-0005-0000-0000-0000B0140000}"/>
    <cellStyle name="Normal 5 7 2 3 3" xfId="7079" xr:uid="{00000000-0005-0000-0000-0000B1140000}"/>
    <cellStyle name="Normal 5 7 2 4" xfId="4533" xr:uid="{00000000-0005-0000-0000-0000B2140000}"/>
    <cellStyle name="Normal 5 7 2 4 2" xfId="7701" xr:uid="{00000000-0005-0000-0000-0000B3140000}"/>
    <cellStyle name="Normal 5 7 2 5" xfId="7077" xr:uid="{00000000-0005-0000-0000-0000B4140000}"/>
    <cellStyle name="Normal 5 7 3" xfId="3910" xr:uid="{00000000-0005-0000-0000-0000B5140000}"/>
    <cellStyle name="Normal 5 7 3 2" xfId="4536" xr:uid="{00000000-0005-0000-0000-0000B6140000}"/>
    <cellStyle name="Normal 5 7 3 2 2" xfId="7704" xr:uid="{00000000-0005-0000-0000-0000B7140000}"/>
    <cellStyle name="Normal 5 7 3 3" xfId="7080" xr:uid="{00000000-0005-0000-0000-0000B8140000}"/>
    <cellStyle name="Normal 5 7 4" xfId="3911" xr:uid="{00000000-0005-0000-0000-0000B9140000}"/>
    <cellStyle name="Normal 5 7 4 2" xfId="4537" xr:uid="{00000000-0005-0000-0000-0000BA140000}"/>
    <cellStyle name="Normal 5 7 4 2 2" xfId="7705" xr:uid="{00000000-0005-0000-0000-0000BB140000}"/>
    <cellStyle name="Normal 5 7 4 3" xfId="7081" xr:uid="{00000000-0005-0000-0000-0000BC140000}"/>
    <cellStyle name="Normal 5 7 5" xfId="3912" xr:uid="{00000000-0005-0000-0000-0000BD140000}"/>
    <cellStyle name="Normal 5 7 5 2" xfId="4538" xr:uid="{00000000-0005-0000-0000-0000BE140000}"/>
    <cellStyle name="Normal 5 7 5 2 2" xfId="7706" xr:uid="{00000000-0005-0000-0000-0000BF140000}"/>
    <cellStyle name="Normal 5 7 5 3" xfId="7082" xr:uid="{00000000-0005-0000-0000-0000C0140000}"/>
    <cellStyle name="Normal 5 7 6" xfId="4532" xr:uid="{00000000-0005-0000-0000-0000C1140000}"/>
    <cellStyle name="Normal 5 7 6 2" xfId="7700" xr:uid="{00000000-0005-0000-0000-0000C2140000}"/>
    <cellStyle name="Normal 5 7 7" xfId="7076" xr:uid="{00000000-0005-0000-0000-0000C3140000}"/>
    <cellStyle name="Normal 5 8" xfId="3913" xr:uid="{00000000-0005-0000-0000-0000C4140000}"/>
    <cellStyle name="Normal 5 8 2" xfId="3914" xr:uid="{00000000-0005-0000-0000-0000C5140000}"/>
    <cellStyle name="Normal 5 8 2 2" xfId="4540" xr:uid="{00000000-0005-0000-0000-0000C6140000}"/>
    <cellStyle name="Normal 5 8 2 2 2" xfId="7708" xr:uid="{00000000-0005-0000-0000-0000C7140000}"/>
    <cellStyle name="Normal 5 8 2 3" xfId="7084" xr:uid="{00000000-0005-0000-0000-0000C8140000}"/>
    <cellStyle name="Normal 5 8 3" xfId="3915" xr:uid="{00000000-0005-0000-0000-0000C9140000}"/>
    <cellStyle name="Normal 5 8 3 2" xfId="4541" xr:uid="{00000000-0005-0000-0000-0000CA140000}"/>
    <cellStyle name="Normal 5 8 3 2 2" xfId="7709" xr:uid="{00000000-0005-0000-0000-0000CB140000}"/>
    <cellStyle name="Normal 5 8 3 3" xfId="7085" xr:uid="{00000000-0005-0000-0000-0000CC140000}"/>
    <cellStyle name="Normal 5 8 4" xfId="4539" xr:uid="{00000000-0005-0000-0000-0000CD140000}"/>
    <cellStyle name="Normal 5 8 4 2" xfId="7707" xr:uid="{00000000-0005-0000-0000-0000CE140000}"/>
    <cellStyle name="Normal 5 8 5" xfId="7083" xr:uid="{00000000-0005-0000-0000-0000CF140000}"/>
    <cellStyle name="Normal 5 9" xfId="3916" xr:uid="{00000000-0005-0000-0000-0000D0140000}"/>
    <cellStyle name="Normal 5 9 2" xfId="3917" xr:uid="{00000000-0005-0000-0000-0000D1140000}"/>
    <cellStyle name="Normal 5 9 2 2" xfId="4543" xr:uid="{00000000-0005-0000-0000-0000D2140000}"/>
    <cellStyle name="Normal 5 9 2 2 2" xfId="7711" xr:uid="{00000000-0005-0000-0000-0000D3140000}"/>
    <cellStyle name="Normal 5 9 2 3" xfId="7087" xr:uid="{00000000-0005-0000-0000-0000D4140000}"/>
    <cellStyle name="Normal 5 9 3" xfId="4542" xr:uid="{00000000-0005-0000-0000-0000D5140000}"/>
    <cellStyle name="Normal 5 9 3 2" xfId="7710" xr:uid="{00000000-0005-0000-0000-0000D6140000}"/>
    <cellStyle name="Normal 5 9 4" xfId="7086" xr:uid="{00000000-0005-0000-0000-0000D7140000}"/>
    <cellStyle name="Normal 6" xfId="989" xr:uid="{00000000-0005-0000-0000-0000D8140000}"/>
    <cellStyle name="Normal 6 10" xfId="3919" xr:uid="{00000000-0005-0000-0000-0000D9140000}"/>
    <cellStyle name="Normal 6 10 2" xfId="4545" xr:uid="{00000000-0005-0000-0000-0000DA140000}"/>
    <cellStyle name="Normal 6 10 2 2" xfId="7713" xr:uid="{00000000-0005-0000-0000-0000DB140000}"/>
    <cellStyle name="Normal 6 10 3" xfId="7089" xr:uid="{00000000-0005-0000-0000-0000DC140000}"/>
    <cellStyle name="Normal 6 11" xfId="3920" xr:uid="{00000000-0005-0000-0000-0000DD140000}"/>
    <cellStyle name="Normal 6 11 2" xfId="4546" xr:uid="{00000000-0005-0000-0000-0000DE140000}"/>
    <cellStyle name="Normal 6 11 2 2" xfId="7714" xr:uid="{00000000-0005-0000-0000-0000DF140000}"/>
    <cellStyle name="Normal 6 11 3" xfId="7090" xr:uid="{00000000-0005-0000-0000-0000E0140000}"/>
    <cellStyle name="Normal 6 12" xfId="3921" xr:uid="{00000000-0005-0000-0000-0000E1140000}"/>
    <cellStyle name="Normal 6 12 2" xfId="4547" xr:uid="{00000000-0005-0000-0000-0000E2140000}"/>
    <cellStyle name="Normal 6 12 2 2" xfId="7715" xr:uid="{00000000-0005-0000-0000-0000E3140000}"/>
    <cellStyle name="Normal 6 12 3" xfId="7091" xr:uid="{00000000-0005-0000-0000-0000E4140000}"/>
    <cellStyle name="Normal 6 13" xfId="3918" xr:uid="{00000000-0005-0000-0000-0000E5140000}"/>
    <cellStyle name="Normal 6 13 2" xfId="4544" xr:uid="{00000000-0005-0000-0000-0000E6140000}"/>
    <cellStyle name="Normal 6 13 2 2" xfId="7712" xr:uid="{00000000-0005-0000-0000-0000E7140000}"/>
    <cellStyle name="Normal 6 13 3" xfId="7088" xr:uid="{00000000-0005-0000-0000-0000E8140000}"/>
    <cellStyle name="Normal 6 14" xfId="4104" xr:uid="{00000000-0005-0000-0000-0000E9140000}"/>
    <cellStyle name="Normal 6 14 2" xfId="7272" xr:uid="{00000000-0005-0000-0000-0000EA140000}"/>
    <cellStyle name="Normal 6 15" xfId="3385" xr:uid="{00000000-0005-0000-0000-0000EB140000}"/>
    <cellStyle name="Normal 6 15 2" xfId="6653" xr:uid="{00000000-0005-0000-0000-0000EC140000}"/>
    <cellStyle name="Normal 6 16" xfId="6226" xr:uid="{00000000-0005-0000-0000-0000ED140000}"/>
    <cellStyle name="Normal 6 2" xfId="990" xr:uid="{00000000-0005-0000-0000-0000EE140000}"/>
    <cellStyle name="Normal 6 2 2" xfId="2620" xr:uid="{00000000-0005-0000-0000-0000EF140000}"/>
    <cellStyle name="Normal 6 2 2 2" xfId="3924" xr:uid="{00000000-0005-0000-0000-0000F0140000}"/>
    <cellStyle name="Normal 6 2 2 2 2" xfId="4550" xr:uid="{00000000-0005-0000-0000-0000F1140000}"/>
    <cellStyle name="Normal 6 2 2 2 2 2" xfId="7718" xr:uid="{00000000-0005-0000-0000-0000F2140000}"/>
    <cellStyle name="Normal 6 2 2 2 3" xfId="7094" xr:uid="{00000000-0005-0000-0000-0000F3140000}"/>
    <cellStyle name="Normal 6 2 2 3" xfId="3925" xr:uid="{00000000-0005-0000-0000-0000F4140000}"/>
    <cellStyle name="Normal 6 2 2 3 2" xfId="4551" xr:uid="{00000000-0005-0000-0000-0000F5140000}"/>
    <cellStyle name="Normal 6 2 2 3 2 2" xfId="7719" xr:uid="{00000000-0005-0000-0000-0000F6140000}"/>
    <cellStyle name="Normal 6 2 2 3 3" xfId="7095" xr:uid="{00000000-0005-0000-0000-0000F7140000}"/>
    <cellStyle name="Normal 6 2 2 4" xfId="3923" xr:uid="{00000000-0005-0000-0000-0000F8140000}"/>
    <cellStyle name="Normal 6 2 2 4 2" xfId="4549" xr:uid="{00000000-0005-0000-0000-0000F9140000}"/>
    <cellStyle name="Normal 6 2 2 4 2 2" xfId="7717" xr:uid="{00000000-0005-0000-0000-0000FA140000}"/>
    <cellStyle name="Normal 6 2 2 4 3" xfId="7093" xr:uid="{00000000-0005-0000-0000-0000FB140000}"/>
    <cellStyle name="Normal 6 2 2 5" xfId="4128" xr:uid="{00000000-0005-0000-0000-0000FC140000}"/>
    <cellStyle name="Normal 6 2 2 5 2" xfId="7296" xr:uid="{00000000-0005-0000-0000-0000FD140000}"/>
    <cellStyle name="Normal 6 2 2 6" xfId="3477" xr:uid="{00000000-0005-0000-0000-0000FE140000}"/>
    <cellStyle name="Normal 6 2 2 6 2" xfId="6685" xr:uid="{00000000-0005-0000-0000-0000FF140000}"/>
    <cellStyle name="Normal 6 2 3" xfId="3329" xr:uid="{00000000-0005-0000-0000-000000150000}"/>
    <cellStyle name="Normal 6 2 3 2" xfId="3926" xr:uid="{00000000-0005-0000-0000-000001150000}"/>
    <cellStyle name="Normal 6 2 3 2 2" xfId="4552" xr:uid="{00000000-0005-0000-0000-000002150000}"/>
    <cellStyle name="Normal 6 2 3 2 2 2" xfId="7720" xr:uid="{00000000-0005-0000-0000-000003150000}"/>
    <cellStyle name="Normal 6 2 3 2 3" xfId="7096" xr:uid="{00000000-0005-0000-0000-000004150000}"/>
    <cellStyle name="Normal 6 2 3 3" xfId="4144" xr:uid="{00000000-0005-0000-0000-000005150000}"/>
    <cellStyle name="Normal 6 2 3 3 2" xfId="7312" xr:uid="{00000000-0005-0000-0000-000006150000}"/>
    <cellStyle name="Normal 6 2 3 4" xfId="3493" xr:uid="{00000000-0005-0000-0000-000007150000}"/>
    <cellStyle name="Normal 6 2 3 4 2" xfId="6701" xr:uid="{00000000-0005-0000-0000-000008150000}"/>
    <cellStyle name="Normal 6 2 3 5" xfId="6633" xr:uid="{00000000-0005-0000-0000-000009150000}"/>
    <cellStyle name="Normal 6 2 4" xfId="3927" xr:uid="{00000000-0005-0000-0000-00000A150000}"/>
    <cellStyle name="Normal 6 2 4 2" xfId="4553" xr:uid="{00000000-0005-0000-0000-00000B150000}"/>
    <cellStyle name="Normal 6 2 4 2 2" xfId="7721" xr:uid="{00000000-0005-0000-0000-00000C150000}"/>
    <cellStyle name="Normal 6 2 4 3" xfId="7097" xr:uid="{00000000-0005-0000-0000-00000D150000}"/>
    <cellStyle name="Normal 6 2 5" xfId="3928" xr:uid="{00000000-0005-0000-0000-00000E150000}"/>
    <cellStyle name="Normal 6 2 5 2" xfId="4554" xr:uid="{00000000-0005-0000-0000-00000F150000}"/>
    <cellStyle name="Normal 6 2 5 2 2" xfId="7722" xr:uid="{00000000-0005-0000-0000-000010150000}"/>
    <cellStyle name="Normal 6 2 5 3" xfId="7098" xr:uid="{00000000-0005-0000-0000-000011150000}"/>
    <cellStyle name="Normal 6 2 6" xfId="3929" xr:uid="{00000000-0005-0000-0000-000012150000}"/>
    <cellStyle name="Normal 6 2 6 2" xfId="4555" xr:uid="{00000000-0005-0000-0000-000013150000}"/>
    <cellStyle name="Normal 6 2 6 2 2" xfId="7723" xr:uid="{00000000-0005-0000-0000-000014150000}"/>
    <cellStyle name="Normal 6 2 6 3" xfId="7099" xr:uid="{00000000-0005-0000-0000-000015150000}"/>
    <cellStyle name="Normal 6 2 7" xfId="3922" xr:uid="{00000000-0005-0000-0000-000016150000}"/>
    <cellStyle name="Normal 6 2 7 2" xfId="4548" xr:uid="{00000000-0005-0000-0000-000017150000}"/>
    <cellStyle name="Normal 6 2 7 2 2" xfId="7716" xr:uid="{00000000-0005-0000-0000-000018150000}"/>
    <cellStyle name="Normal 6 2 7 3" xfId="7092" xr:uid="{00000000-0005-0000-0000-000019150000}"/>
    <cellStyle name="Normal 6 2 8" xfId="4112" xr:uid="{00000000-0005-0000-0000-00001A150000}"/>
    <cellStyle name="Normal 6 2 8 2" xfId="7280" xr:uid="{00000000-0005-0000-0000-00001B150000}"/>
    <cellStyle name="Normal 6 2 9" xfId="3461" xr:uid="{00000000-0005-0000-0000-00001C150000}"/>
    <cellStyle name="Normal 6 2 9 2" xfId="6669" xr:uid="{00000000-0005-0000-0000-00001D150000}"/>
    <cellStyle name="Normal 6 3" xfId="2619" xr:uid="{00000000-0005-0000-0000-00001E150000}"/>
    <cellStyle name="Normal 6 3 10" xfId="5673" xr:uid="{00000000-0005-0000-0000-00001F150000}"/>
    <cellStyle name="Normal 6 3 11" xfId="6595" xr:uid="{00000000-0005-0000-0000-000020150000}"/>
    <cellStyle name="Normal 6 3 2" xfId="3307" xr:uid="{00000000-0005-0000-0000-000021150000}"/>
    <cellStyle name="Normal 6 3 2 2" xfId="3932" xr:uid="{00000000-0005-0000-0000-000022150000}"/>
    <cellStyle name="Normal 6 3 2 2 2" xfId="4558" xr:uid="{00000000-0005-0000-0000-000023150000}"/>
    <cellStyle name="Normal 6 3 2 2 2 2" xfId="7726" xr:uid="{00000000-0005-0000-0000-000024150000}"/>
    <cellStyle name="Normal 6 3 2 2 3" xfId="7102" xr:uid="{00000000-0005-0000-0000-000025150000}"/>
    <cellStyle name="Normal 6 3 2 3" xfId="3933" xr:uid="{00000000-0005-0000-0000-000026150000}"/>
    <cellStyle name="Normal 6 3 2 3 2" xfId="4559" xr:uid="{00000000-0005-0000-0000-000027150000}"/>
    <cellStyle name="Normal 6 3 2 3 2 2" xfId="7727" xr:uid="{00000000-0005-0000-0000-000028150000}"/>
    <cellStyle name="Normal 6 3 2 3 3" xfId="7103" xr:uid="{00000000-0005-0000-0000-000029150000}"/>
    <cellStyle name="Normal 6 3 2 4" xfId="4557" xr:uid="{00000000-0005-0000-0000-00002A150000}"/>
    <cellStyle name="Normal 6 3 2 4 2" xfId="7725" xr:uid="{00000000-0005-0000-0000-00002B150000}"/>
    <cellStyle name="Normal 6 3 2 5" xfId="3931" xr:uid="{00000000-0005-0000-0000-00002C150000}"/>
    <cellStyle name="Normal 6 3 2 5 2" xfId="7101" xr:uid="{00000000-0005-0000-0000-00002D150000}"/>
    <cellStyle name="Normal 6 3 2 6" xfId="6616" xr:uid="{00000000-0005-0000-0000-00002E150000}"/>
    <cellStyle name="Normal 6 3 3" xfId="3934" xr:uid="{00000000-0005-0000-0000-00002F150000}"/>
    <cellStyle name="Normal 6 3 3 2" xfId="4560" xr:uid="{00000000-0005-0000-0000-000030150000}"/>
    <cellStyle name="Normal 6 3 3 2 2" xfId="7728" xr:uid="{00000000-0005-0000-0000-000031150000}"/>
    <cellStyle name="Normal 6 3 3 3" xfId="7104" xr:uid="{00000000-0005-0000-0000-000032150000}"/>
    <cellStyle name="Normal 6 3 4" xfId="3935" xr:uid="{00000000-0005-0000-0000-000033150000}"/>
    <cellStyle name="Normal 6 3 4 2" xfId="4561" xr:uid="{00000000-0005-0000-0000-000034150000}"/>
    <cellStyle name="Normal 6 3 4 2 2" xfId="7729" xr:uid="{00000000-0005-0000-0000-000035150000}"/>
    <cellStyle name="Normal 6 3 4 3" xfId="7105" xr:uid="{00000000-0005-0000-0000-000036150000}"/>
    <cellStyle name="Normal 6 3 5" xfId="3936" xr:uid="{00000000-0005-0000-0000-000037150000}"/>
    <cellStyle name="Normal 6 3 5 2" xfId="4562" xr:uid="{00000000-0005-0000-0000-000038150000}"/>
    <cellStyle name="Normal 6 3 5 2 2" xfId="7730" xr:uid="{00000000-0005-0000-0000-000039150000}"/>
    <cellStyle name="Normal 6 3 5 3" xfId="7106" xr:uid="{00000000-0005-0000-0000-00003A150000}"/>
    <cellStyle name="Normal 6 3 6" xfId="3937" xr:uid="{00000000-0005-0000-0000-00003B150000}"/>
    <cellStyle name="Normal 6 3 6 2" xfId="4563" xr:uid="{00000000-0005-0000-0000-00003C150000}"/>
    <cellStyle name="Normal 6 3 6 2 2" xfId="7731" xr:uid="{00000000-0005-0000-0000-00003D150000}"/>
    <cellStyle name="Normal 6 3 6 3" xfId="7107" xr:uid="{00000000-0005-0000-0000-00003E150000}"/>
    <cellStyle name="Normal 6 3 7" xfId="3930" xr:uid="{00000000-0005-0000-0000-00003F150000}"/>
    <cellStyle name="Normal 6 3 7 2" xfId="4556" xr:uid="{00000000-0005-0000-0000-000040150000}"/>
    <cellStyle name="Normal 6 3 7 2 2" xfId="7724" xr:uid="{00000000-0005-0000-0000-000041150000}"/>
    <cellStyle name="Normal 6 3 7 3" xfId="7100" xr:uid="{00000000-0005-0000-0000-000042150000}"/>
    <cellStyle name="Normal 6 3 8" xfId="4120" xr:uid="{00000000-0005-0000-0000-000043150000}"/>
    <cellStyle name="Normal 6 3 8 2" xfId="7288" xr:uid="{00000000-0005-0000-0000-000044150000}"/>
    <cellStyle name="Normal 6 3 9" xfId="3469" xr:uid="{00000000-0005-0000-0000-000045150000}"/>
    <cellStyle name="Normal 6 3 9 2" xfId="6677" xr:uid="{00000000-0005-0000-0000-000046150000}"/>
    <cellStyle name="Normal 6 4" xfId="3322" xr:uid="{00000000-0005-0000-0000-000047150000}"/>
    <cellStyle name="Normal 6 4 10" xfId="6629" xr:uid="{00000000-0005-0000-0000-000048150000}"/>
    <cellStyle name="Normal 6 4 2" xfId="3939" xr:uid="{00000000-0005-0000-0000-000049150000}"/>
    <cellStyle name="Normal 6 4 2 2" xfId="3940" xr:uid="{00000000-0005-0000-0000-00004A150000}"/>
    <cellStyle name="Normal 6 4 2 2 2" xfId="4566" xr:uid="{00000000-0005-0000-0000-00004B150000}"/>
    <cellStyle name="Normal 6 4 2 2 2 2" xfId="7734" xr:uid="{00000000-0005-0000-0000-00004C150000}"/>
    <cellStyle name="Normal 6 4 2 2 3" xfId="7110" xr:uid="{00000000-0005-0000-0000-00004D150000}"/>
    <cellStyle name="Normal 6 4 2 3" xfId="3941" xr:uid="{00000000-0005-0000-0000-00004E150000}"/>
    <cellStyle name="Normal 6 4 2 3 2" xfId="4567" xr:uid="{00000000-0005-0000-0000-00004F150000}"/>
    <cellStyle name="Normal 6 4 2 3 2 2" xfId="7735" xr:uid="{00000000-0005-0000-0000-000050150000}"/>
    <cellStyle name="Normal 6 4 2 3 3" xfId="7111" xr:uid="{00000000-0005-0000-0000-000051150000}"/>
    <cellStyle name="Normal 6 4 2 4" xfId="4565" xr:uid="{00000000-0005-0000-0000-000052150000}"/>
    <cellStyle name="Normal 6 4 2 4 2" xfId="7733" xr:uid="{00000000-0005-0000-0000-000053150000}"/>
    <cellStyle name="Normal 6 4 2 5" xfId="7109" xr:uid="{00000000-0005-0000-0000-000054150000}"/>
    <cellStyle name="Normal 6 4 3" xfId="3942" xr:uid="{00000000-0005-0000-0000-000055150000}"/>
    <cellStyle name="Normal 6 4 3 2" xfId="4568" xr:uid="{00000000-0005-0000-0000-000056150000}"/>
    <cellStyle name="Normal 6 4 3 2 2" xfId="7736" xr:uid="{00000000-0005-0000-0000-000057150000}"/>
    <cellStyle name="Normal 6 4 3 3" xfId="7112" xr:uid="{00000000-0005-0000-0000-000058150000}"/>
    <cellStyle name="Normal 6 4 4" xfId="3943" xr:uid="{00000000-0005-0000-0000-000059150000}"/>
    <cellStyle name="Normal 6 4 4 2" xfId="4569" xr:uid="{00000000-0005-0000-0000-00005A150000}"/>
    <cellStyle name="Normal 6 4 4 2 2" xfId="7737" xr:uid="{00000000-0005-0000-0000-00005B150000}"/>
    <cellStyle name="Normal 6 4 4 3" xfId="7113" xr:uid="{00000000-0005-0000-0000-00005C150000}"/>
    <cellStyle name="Normal 6 4 5" xfId="3944" xr:uid="{00000000-0005-0000-0000-00005D150000}"/>
    <cellStyle name="Normal 6 4 5 2" xfId="4570" xr:uid="{00000000-0005-0000-0000-00005E150000}"/>
    <cellStyle name="Normal 6 4 5 2 2" xfId="7738" xr:uid="{00000000-0005-0000-0000-00005F150000}"/>
    <cellStyle name="Normal 6 4 5 3" xfId="7114" xr:uid="{00000000-0005-0000-0000-000060150000}"/>
    <cellStyle name="Normal 6 4 6" xfId="3938" xr:uid="{00000000-0005-0000-0000-000061150000}"/>
    <cellStyle name="Normal 6 4 6 2" xfId="4564" xr:uid="{00000000-0005-0000-0000-000062150000}"/>
    <cellStyle name="Normal 6 4 6 2 2" xfId="7732" xr:uid="{00000000-0005-0000-0000-000063150000}"/>
    <cellStyle name="Normal 6 4 6 3" xfId="7108" xr:uid="{00000000-0005-0000-0000-000064150000}"/>
    <cellStyle name="Normal 6 4 7" xfId="4136" xr:uid="{00000000-0005-0000-0000-000065150000}"/>
    <cellStyle name="Normal 6 4 7 2" xfId="7304" xr:uid="{00000000-0005-0000-0000-000066150000}"/>
    <cellStyle name="Normal 6 4 8" xfId="3485" xr:uid="{00000000-0005-0000-0000-000067150000}"/>
    <cellStyle name="Normal 6 4 8 2" xfId="6693" xr:uid="{00000000-0005-0000-0000-000068150000}"/>
    <cellStyle name="Normal 6 4 9" xfId="5302" xr:uid="{00000000-0005-0000-0000-000069150000}"/>
    <cellStyle name="Normal 6 5" xfId="3288" xr:uid="{00000000-0005-0000-0000-00006A150000}"/>
    <cellStyle name="Normal 6 5 2" xfId="3946" xr:uid="{00000000-0005-0000-0000-00006B150000}"/>
    <cellStyle name="Normal 6 5 2 2" xfId="3947" xr:uid="{00000000-0005-0000-0000-00006C150000}"/>
    <cellStyle name="Normal 6 5 2 2 2" xfId="4573" xr:uid="{00000000-0005-0000-0000-00006D150000}"/>
    <cellStyle name="Normal 6 5 2 2 2 2" xfId="7741" xr:uid="{00000000-0005-0000-0000-00006E150000}"/>
    <cellStyle name="Normal 6 5 2 2 3" xfId="7117" xr:uid="{00000000-0005-0000-0000-00006F150000}"/>
    <cellStyle name="Normal 6 5 2 3" xfId="3948" xr:uid="{00000000-0005-0000-0000-000070150000}"/>
    <cellStyle name="Normal 6 5 2 3 2" xfId="4574" xr:uid="{00000000-0005-0000-0000-000071150000}"/>
    <cellStyle name="Normal 6 5 2 3 2 2" xfId="7742" xr:uid="{00000000-0005-0000-0000-000072150000}"/>
    <cellStyle name="Normal 6 5 2 3 3" xfId="7118" xr:uid="{00000000-0005-0000-0000-000073150000}"/>
    <cellStyle name="Normal 6 5 2 4" xfId="4572" xr:uid="{00000000-0005-0000-0000-000074150000}"/>
    <cellStyle name="Normal 6 5 2 4 2" xfId="7740" xr:uid="{00000000-0005-0000-0000-000075150000}"/>
    <cellStyle name="Normal 6 5 2 5" xfId="7116" xr:uid="{00000000-0005-0000-0000-000076150000}"/>
    <cellStyle name="Normal 6 5 3" xfId="3949" xr:uid="{00000000-0005-0000-0000-000077150000}"/>
    <cellStyle name="Normal 6 5 3 2" xfId="4575" xr:uid="{00000000-0005-0000-0000-000078150000}"/>
    <cellStyle name="Normal 6 5 3 2 2" xfId="7743" xr:uid="{00000000-0005-0000-0000-000079150000}"/>
    <cellStyle name="Normal 6 5 3 3" xfId="7119" xr:uid="{00000000-0005-0000-0000-00007A150000}"/>
    <cellStyle name="Normal 6 5 4" xfId="3950" xr:uid="{00000000-0005-0000-0000-00007B150000}"/>
    <cellStyle name="Normal 6 5 4 2" xfId="4576" xr:uid="{00000000-0005-0000-0000-00007C150000}"/>
    <cellStyle name="Normal 6 5 4 2 2" xfId="7744" xr:uid="{00000000-0005-0000-0000-00007D150000}"/>
    <cellStyle name="Normal 6 5 4 3" xfId="7120" xr:uid="{00000000-0005-0000-0000-00007E150000}"/>
    <cellStyle name="Normal 6 5 5" xfId="3951" xr:uid="{00000000-0005-0000-0000-00007F150000}"/>
    <cellStyle name="Normal 6 5 5 2" xfId="4577" xr:uid="{00000000-0005-0000-0000-000080150000}"/>
    <cellStyle name="Normal 6 5 5 2 2" xfId="7745" xr:uid="{00000000-0005-0000-0000-000081150000}"/>
    <cellStyle name="Normal 6 5 5 3" xfId="7121" xr:uid="{00000000-0005-0000-0000-000082150000}"/>
    <cellStyle name="Normal 6 5 6" xfId="4571" xr:uid="{00000000-0005-0000-0000-000083150000}"/>
    <cellStyle name="Normal 6 5 6 2" xfId="7739" xr:uid="{00000000-0005-0000-0000-000084150000}"/>
    <cellStyle name="Normal 6 5 7" xfId="3945" xr:uid="{00000000-0005-0000-0000-000085150000}"/>
    <cellStyle name="Normal 6 5 7 2" xfId="7115" xr:uid="{00000000-0005-0000-0000-000086150000}"/>
    <cellStyle name="Normal 6 5 8" xfId="6606" xr:uid="{00000000-0005-0000-0000-000087150000}"/>
    <cellStyle name="Normal 6 6" xfId="3952" xr:uid="{00000000-0005-0000-0000-000088150000}"/>
    <cellStyle name="Normal 6 6 2" xfId="3953" xr:uid="{00000000-0005-0000-0000-000089150000}"/>
    <cellStyle name="Normal 6 6 2 2" xfId="3954" xr:uid="{00000000-0005-0000-0000-00008A150000}"/>
    <cellStyle name="Normal 6 6 2 2 2" xfId="4580" xr:uid="{00000000-0005-0000-0000-00008B150000}"/>
    <cellStyle name="Normal 6 6 2 2 2 2" xfId="7748" xr:uid="{00000000-0005-0000-0000-00008C150000}"/>
    <cellStyle name="Normal 6 6 2 2 3" xfId="7124" xr:uid="{00000000-0005-0000-0000-00008D150000}"/>
    <cellStyle name="Normal 6 6 2 3" xfId="3955" xr:uid="{00000000-0005-0000-0000-00008E150000}"/>
    <cellStyle name="Normal 6 6 2 3 2" xfId="4581" xr:uid="{00000000-0005-0000-0000-00008F150000}"/>
    <cellStyle name="Normal 6 6 2 3 2 2" xfId="7749" xr:uid="{00000000-0005-0000-0000-000090150000}"/>
    <cellStyle name="Normal 6 6 2 3 3" xfId="7125" xr:uid="{00000000-0005-0000-0000-000091150000}"/>
    <cellStyle name="Normal 6 6 2 4" xfId="4579" xr:uid="{00000000-0005-0000-0000-000092150000}"/>
    <cellStyle name="Normal 6 6 2 4 2" xfId="7747" xr:uid="{00000000-0005-0000-0000-000093150000}"/>
    <cellStyle name="Normal 6 6 2 5" xfId="7123" xr:uid="{00000000-0005-0000-0000-000094150000}"/>
    <cellStyle name="Normal 6 6 3" xfId="3956" xr:uid="{00000000-0005-0000-0000-000095150000}"/>
    <cellStyle name="Normal 6 6 3 2" xfId="4582" xr:uid="{00000000-0005-0000-0000-000096150000}"/>
    <cellStyle name="Normal 6 6 3 2 2" xfId="7750" xr:uid="{00000000-0005-0000-0000-000097150000}"/>
    <cellStyle name="Normal 6 6 3 3" xfId="7126" xr:uid="{00000000-0005-0000-0000-000098150000}"/>
    <cellStyle name="Normal 6 6 4" xfId="3957" xr:uid="{00000000-0005-0000-0000-000099150000}"/>
    <cellStyle name="Normal 6 6 4 2" xfId="4583" xr:uid="{00000000-0005-0000-0000-00009A150000}"/>
    <cellStyle name="Normal 6 6 4 2 2" xfId="7751" xr:uid="{00000000-0005-0000-0000-00009B150000}"/>
    <cellStyle name="Normal 6 6 4 3" xfId="7127" xr:uid="{00000000-0005-0000-0000-00009C150000}"/>
    <cellStyle name="Normal 6 6 5" xfId="3958" xr:uid="{00000000-0005-0000-0000-00009D150000}"/>
    <cellStyle name="Normal 6 6 5 2" xfId="4584" xr:uid="{00000000-0005-0000-0000-00009E150000}"/>
    <cellStyle name="Normal 6 6 5 2 2" xfId="7752" xr:uid="{00000000-0005-0000-0000-00009F150000}"/>
    <cellStyle name="Normal 6 6 5 3" xfId="7128" xr:uid="{00000000-0005-0000-0000-0000A0150000}"/>
    <cellStyle name="Normal 6 6 6" xfId="4578" xr:uid="{00000000-0005-0000-0000-0000A1150000}"/>
    <cellStyle name="Normal 6 6 6 2" xfId="7746" xr:uid="{00000000-0005-0000-0000-0000A2150000}"/>
    <cellStyle name="Normal 6 6 7" xfId="7122" xr:uid="{00000000-0005-0000-0000-0000A3150000}"/>
    <cellStyle name="Normal 6 7" xfId="3959" xr:uid="{00000000-0005-0000-0000-0000A4150000}"/>
    <cellStyle name="Normal 6 7 2" xfId="3960" xr:uid="{00000000-0005-0000-0000-0000A5150000}"/>
    <cellStyle name="Normal 6 7 2 2" xfId="3961" xr:uid="{00000000-0005-0000-0000-0000A6150000}"/>
    <cellStyle name="Normal 6 7 2 2 2" xfId="4587" xr:uid="{00000000-0005-0000-0000-0000A7150000}"/>
    <cellStyle name="Normal 6 7 2 2 2 2" xfId="7755" xr:uid="{00000000-0005-0000-0000-0000A8150000}"/>
    <cellStyle name="Normal 6 7 2 2 3" xfId="7131" xr:uid="{00000000-0005-0000-0000-0000A9150000}"/>
    <cellStyle name="Normal 6 7 2 3" xfId="3962" xr:uid="{00000000-0005-0000-0000-0000AA150000}"/>
    <cellStyle name="Normal 6 7 2 3 2" xfId="4588" xr:uid="{00000000-0005-0000-0000-0000AB150000}"/>
    <cellStyle name="Normal 6 7 2 3 2 2" xfId="7756" xr:uid="{00000000-0005-0000-0000-0000AC150000}"/>
    <cellStyle name="Normal 6 7 2 3 3" xfId="7132" xr:uid="{00000000-0005-0000-0000-0000AD150000}"/>
    <cellStyle name="Normal 6 7 2 4" xfId="4586" xr:uid="{00000000-0005-0000-0000-0000AE150000}"/>
    <cellStyle name="Normal 6 7 2 4 2" xfId="7754" xr:uid="{00000000-0005-0000-0000-0000AF150000}"/>
    <cellStyle name="Normal 6 7 2 5" xfId="7130" xr:uid="{00000000-0005-0000-0000-0000B0150000}"/>
    <cellStyle name="Normal 6 7 3" xfId="3963" xr:uid="{00000000-0005-0000-0000-0000B1150000}"/>
    <cellStyle name="Normal 6 7 3 2" xfId="4589" xr:uid="{00000000-0005-0000-0000-0000B2150000}"/>
    <cellStyle name="Normal 6 7 3 2 2" xfId="7757" xr:uid="{00000000-0005-0000-0000-0000B3150000}"/>
    <cellStyle name="Normal 6 7 3 3" xfId="7133" xr:uid="{00000000-0005-0000-0000-0000B4150000}"/>
    <cellStyle name="Normal 6 7 4" xfId="3964" xr:uid="{00000000-0005-0000-0000-0000B5150000}"/>
    <cellStyle name="Normal 6 7 4 2" xfId="4590" xr:uid="{00000000-0005-0000-0000-0000B6150000}"/>
    <cellStyle name="Normal 6 7 4 2 2" xfId="7758" xr:uid="{00000000-0005-0000-0000-0000B7150000}"/>
    <cellStyle name="Normal 6 7 4 3" xfId="7134" xr:uid="{00000000-0005-0000-0000-0000B8150000}"/>
    <cellStyle name="Normal 6 7 5" xfId="3965" xr:uid="{00000000-0005-0000-0000-0000B9150000}"/>
    <cellStyle name="Normal 6 7 5 2" xfId="4591" xr:uid="{00000000-0005-0000-0000-0000BA150000}"/>
    <cellStyle name="Normal 6 7 5 2 2" xfId="7759" xr:uid="{00000000-0005-0000-0000-0000BB150000}"/>
    <cellStyle name="Normal 6 7 5 3" xfId="7135" xr:uid="{00000000-0005-0000-0000-0000BC150000}"/>
    <cellStyle name="Normal 6 7 6" xfId="4585" xr:uid="{00000000-0005-0000-0000-0000BD150000}"/>
    <cellStyle name="Normal 6 7 6 2" xfId="7753" xr:uid="{00000000-0005-0000-0000-0000BE150000}"/>
    <cellStyle name="Normal 6 7 7" xfId="7129" xr:uid="{00000000-0005-0000-0000-0000BF150000}"/>
    <cellStyle name="Normal 6 8" xfId="3966" xr:uid="{00000000-0005-0000-0000-0000C0150000}"/>
    <cellStyle name="Normal 6 8 2" xfId="3967" xr:uid="{00000000-0005-0000-0000-0000C1150000}"/>
    <cellStyle name="Normal 6 8 2 2" xfId="4593" xr:uid="{00000000-0005-0000-0000-0000C2150000}"/>
    <cellStyle name="Normal 6 8 2 2 2" xfId="7761" xr:uid="{00000000-0005-0000-0000-0000C3150000}"/>
    <cellStyle name="Normal 6 8 2 3" xfId="7137" xr:uid="{00000000-0005-0000-0000-0000C4150000}"/>
    <cellStyle name="Normal 6 8 3" xfId="3968" xr:uid="{00000000-0005-0000-0000-0000C5150000}"/>
    <cellStyle name="Normal 6 8 3 2" xfId="4594" xr:uid="{00000000-0005-0000-0000-0000C6150000}"/>
    <cellStyle name="Normal 6 8 3 2 2" xfId="7762" xr:uid="{00000000-0005-0000-0000-0000C7150000}"/>
    <cellStyle name="Normal 6 8 3 3" xfId="7138" xr:uid="{00000000-0005-0000-0000-0000C8150000}"/>
    <cellStyle name="Normal 6 8 4" xfId="4592" xr:uid="{00000000-0005-0000-0000-0000C9150000}"/>
    <cellStyle name="Normal 6 8 4 2" xfId="7760" xr:uid="{00000000-0005-0000-0000-0000CA150000}"/>
    <cellStyle name="Normal 6 8 5" xfId="7136" xr:uid="{00000000-0005-0000-0000-0000CB150000}"/>
    <cellStyle name="Normal 6 9" xfId="3969" xr:uid="{00000000-0005-0000-0000-0000CC150000}"/>
    <cellStyle name="Normal 6 9 2" xfId="3970" xr:uid="{00000000-0005-0000-0000-0000CD150000}"/>
    <cellStyle name="Normal 6 9 2 2" xfId="4596" xr:uid="{00000000-0005-0000-0000-0000CE150000}"/>
    <cellStyle name="Normal 6 9 2 2 2" xfId="7764" xr:uid="{00000000-0005-0000-0000-0000CF150000}"/>
    <cellStyle name="Normal 6 9 2 3" xfId="7140" xr:uid="{00000000-0005-0000-0000-0000D0150000}"/>
    <cellStyle name="Normal 6 9 3" xfId="4595" xr:uid="{00000000-0005-0000-0000-0000D1150000}"/>
    <cellStyle name="Normal 6 9 3 2" xfId="7763" xr:uid="{00000000-0005-0000-0000-0000D2150000}"/>
    <cellStyle name="Normal 6 9 4" xfId="7139" xr:uid="{00000000-0005-0000-0000-0000D3150000}"/>
    <cellStyle name="Normal 7" xfId="991" xr:uid="{00000000-0005-0000-0000-0000D4150000}"/>
    <cellStyle name="Normal 7 10" xfId="3459" xr:uid="{00000000-0005-0000-0000-0000D5150000}"/>
    <cellStyle name="Normal 7 10 2" xfId="6667" xr:uid="{00000000-0005-0000-0000-0000D6150000}"/>
    <cellStyle name="Normal 7 2" xfId="992" xr:uid="{00000000-0005-0000-0000-0000D7150000}"/>
    <cellStyle name="Normal 7 2 2" xfId="3323" xr:uid="{00000000-0005-0000-0000-0000D8150000}"/>
    <cellStyle name="Normal 7 2 2 2" xfId="3973" xr:uid="{00000000-0005-0000-0000-0000D9150000}"/>
    <cellStyle name="Normal 7 2 2 3" xfId="4134" xr:uid="{00000000-0005-0000-0000-0000DA150000}"/>
    <cellStyle name="Normal 7 2 2 3 2" xfId="7302" xr:uid="{00000000-0005-0000-0000-0000DB150000}"/>
    <cellStyle name="Normal 7 2 2 4" xfId="3483" xr:uid="{00000000-0005-0000-0000-0000DC150000}"/>
    <cellStyle name="Normal 7 2 2 4 2" xfId="6691" xr:uid="{00000000-0005-0000-0000-0000DD150000}"/>
    <cellStyle name="Normal 7 2 3" xfId="3499" xr:uid="{00000000-0005-0000-0000-0000DE150000}"/>
    <cellStyle name="Normal 7 2 3 2" xfId="3974" xr:uid="{00000000-0005-0000-0000-0000DF150000}"/>
    <cellStyle name="Normal 7 2 3 2 2" xfId="4598" xr:uid="{00000000-0005-0000-0000-0000E0150000}"/>
    <cellStyle name="Normal 7 2 3 2 2 2" xfId="7766" xr:uid="{00000000-0005-0000-0000-0000E1150000}"/>
    <cellStyle name="Normal 7 2 3 2 3" xfId="7142" xr:uid="{00000000-0005-0000-0000-0000E2150000}"/>
    <cellStyle name="Normal 7 2 3 3" xfId="4150" xr:uid="{00000000-0005-0000-0000-0000E3150000}"/>
    <cellStyle name="Normal 7 2 3 3 2" xfId="7318" xr:uid="{00000000-0005-0000-0000-0000E4150000}"/>
    <cellStyle name="Normal 7 2 3 4" xfId="6707" xr:uid="{00000000-0005-0000-0000-0000E5150000}"/>
    <cellStyle name="Normal 7 2 4" xfId="3972" xr:uid="{00000000-0005-0000-0000-0000E6150000}"/>
    <cellStyle name="Normal 7 2 5" xfId="4118" xr:uid="{00000000-0005-0000-0000-0000E7150000}"/>
    <cellStyle name="Normal 7 2 5 2" xfId="7286" xr:uid="{00000000-0005-0000-0000-0000E8150000}"/>
    <cellStyle name="Normal 7 2 6" xfId="3467" xr:uid="{00000000-0005-0000-0000-0000E9150000}"/>
    <cellStyle name="Normal 7 2 6 2" xfId="6675" xr:uid="{00000000-0005-0000-0000-0000EA150000}"/>
    <cellStyle name="Normal 7 3" xfId="3475" xr:uid="{00000000-0005-0000-0000-0000EB150000}"/>
    <cellStyle name="Normal 7 3 2" xfId="3976" xr:uid="{00000000-0005-0000-0000-0000EC150000}"/>
    <cellStyle name="Normal 7 3 2 2" xfId="4600" xr:uid="{00000000-0005-0000-0000-0000ED150000}"/>
    <cellStyle name="Normal 7 3 2 2 2" xfId="7768" xr:uid="{00000000-0005-0000-0000-0000EE150000}"/>
    <cellStyle name="Normal 7 3 2 3" xfId="7144" xr:uid="{00000000-0005-0000-0000-0000EF150000}"/>
    <cellStyle name="Normal 7 3 3" xfId="3977" xr:uid="{00000000-0005-0000-0000-0000F0150000}"/>
    <cellStyle name="Normal 7 3 3 2" xfId="4601" xr:uid="{00000000-0005-0000-0000-0000F1150000}"/>
    <cellStyle name="Normal 7 3 3 2 2" xfId="7769" xr:uid="{00000000-0005-0000-0000-0000F2150000}"/>
    <cellStyle name="Normal 7 3 3 3" xfId="7145" xr:uid="{00000000-0005-0000-0000-0000F3150000}"/>
    <cellStyle name="Normal 7 3 4" xfId="3975" xr:uid="{00000000-0005-0000-0000-0000F4150000}"/>
    <cellStyle name="Normal 7 3 4 2" xfId="4599" xr:uid="{00000000-0005-0000-0000-0000F5150000}"/>
    <cellStyle name="Normal 7 3 4 2 2" xfId="7767" xr:uid="{00000000-0005-0000-0000-0000F6150000}"/>
    <cellStyle name="Normal 7 3 4 3" xfId="7143" xr:uid="{00000000-0005-0000-0000-0000F7150000}"/>
    <cellStyle name="Normal 7 3 5" xfId="4126" xr:uid="{00000000-0005-0000-0000-0000F8150000}"/>
    <cellStyle name="Normal 7 3 5 2" xfId="7294" xr:uid="{00000000-0005-0000-0000-0000F9150000}"/>
    <cellStyle name="Normal 7 3 6" xfId="6683" xr:uid="{00000000-0005-0000-0000-0000FA150000}"/>
    <cellStyle name="Normal 7 4" xfId="3491" xr:uid="{00000000-0005-0000-0000-0000FB150000}"/>
    <cellStyle name="Normal 7 4 2" xfId="3979" xr:uid="{00000000-0005-0000-0000-0000FC150000}"/>
    <cellStyle name="Normal 7 4 2 2" xfId="4603" xr:uid="{00000000-0005-0000-0000-0000FD150000}"/>
    <cellStyle name="Normal 7 4 2 2 2" xfId="7771" xr:uid="{00000000-0005-0000-0000-0000FE150000}"/>
    <cellStyle name="Normal 7 4 2 3" xfId="7147" xr:uid="{00000000-0005-0000-0000-0000FF150000}"/>
    <cellStyle name="Normal 7 4 3" xfId="3978" xr:uid="{00000000-0005-0000-0000-000000160000}"/>
    <cellStyle name="Normal 7 4 3 2" xfId="4602" xr:uid="{00000000-0005-0000-0000-000001160000}"/>
    <cellStyle name="Normal 7 4 3 2 2" xfId="7770" xr:uid="{00000000-0005-0000-0000-000002160000}"/>
    <cellStyle name="Normal 7 4 3 3" xfId="7146" xr:uid="{00000000-0005-0000-0000-000003160000}"/>
    <cellStyle name="Normal 7 4 4" xfId="4142" xr:uid="{00000000-0005-0000-0000-000004160000}"/>
    <cellStyle name="Normal 7 4 4 2" xfId="7310" xr:uid="{00000000-0005-0000-0000-000005160000}"/>
    <cellStyle name="Normal 7 4 5" xfId="6699" xr:uid="{00000000-0005-0000-0000-000006160000}"/>
    <cellStyle name="Normal 7 5" xfId="3980" xr:uid="{00000000-0005-0000-0000-000007160000}"/>
    <cellStyle name="Normal 7 5 2" xfId="4604" xr:uid="{00000000-0005-0000-0000-000008160000}"/>
    <cellStyle name="Normal 7 5 2 2" xfId="7772" xr:uid="{00000000-0005-0000-0000-000009160000}"/>
    <cellStyle name="Normal 7 5 3" xfId="7148" xr:uid="{00000000-0005-0000-0000-00000A160000}"/>
    <cellStyle name="Normal 7 6" xfId="3981" xr:uid="{00000000-0005-0000-0000-00000B160000}"/>
    <cellStyle name="Normal 7 6 2" xfId="4605" xr:uid="{00000000-0005-0000-0000-00000C160000}"/>
    <cellStyle name="Normal 7 6 2 2" xfId="7773" xr:uid="{00000000-0005-0000-0000-00000D160000}"/>
    <cellStyle name="Normal 7 6 3" xfId="7149" xr:uid="{00000000-0005-0000-0000-00000E160000}"/>
    <cellStyle name="Normal 7 7" xfId="3982" xr:uid="{00000000-0005-0000-0000-00000F160000}"/>
    <cellStyle name="Normal 7 7 2" xfId="4606" xr:uid="{00000000-0005-0000-0000-000010160000}"/>
    <cellStyle name="Normal 7 7 2 2" xfId="7774" xr:uid="{00000000-0005-0000-0000-000011160000}"/>
    <cellStyle name="Normal 7 7 3" xfId="7150" xr:uid="{00000000-0005-0000-0000-000012160000}"/>
    <cellStyle name="Normal 7 8" xfId="3971" xr:uid="{00000000-0005-0000-0000-000013160000}"/>
    <cellStyle name="Normal 7 8 2" xfId="4597" xr:uid="{00000000-0005-0000-0000-000014160000}"/>
    <cellStyle name="Normal 7 8 2 2" xfId="7765" xr:uid="{00000000-0005-0000-0000-000015160000}"/>
    <cellStyle name="Normal 7 8 3" xfId="7141" xr:uid="{00000000-0005-0000-0000-000016160000}"/>
    <cellStyle name="Normal 7 9" xfId="4110" xr:uid="{00000000-0005-0000-0000-000017160000}"/>
    <cellStyle name="Normal 7 9 2" xfId="7278" xr:uid="{00000000-0005-0000-0000-000018160000}"/>
    <cellStyle name="Normal 8" xfId="993" xr:uid="{00000000-0005-0000-0000-000019160000}"/>
    <cellStyle name="Normal 8 2" xfId="994" xr:uid="{00000000-0005-0000-0000-00001A160000}"/>
    <cellStyle name="Normal 8 2 2" xfId="2621" xr:uid="{00000000-0005-0000-0000-00001B160000}"/>
    <cellStyle name="Normal 8 2 2 2" xfId="3308" xr:uid="{00000000-0005-0000-0000-00001C160000}"/>
    <cellStyle name="Normal 8 2 2 2 2" xfId="4609" xr:uid="{00000000-0005-0000-0000-00001D160000}"/>
    <cellStyle name="Normal 8 2 2 2 2 2" xfId="7777" xr:uid="{00000000-0005-0000-0000-00001E160000}"/>
    <cellStyle name="Normal 8 2 2 2 3" xfId="6617" xr:uid="{00000000-0005-0000-0000-00001F160000}"/>
    <cellStyle name="Normal 8 2 2 3" xfId="3985" xr:uid="{00000000-0005-0000-0000-000020160000}"/>
    <cellStyle name="Normal 8 2 2 3 2" xfId="7153" xr:uid="{00000000-0005-0000-0000-000021160000}"/>
    <cellStyle name="Normal 8 2 2 4" xfId="5674" xr:uid="{00000000-0005-0000-0000-000022160000}"/>
    <cellStyle name="Normal 8 2 2 5" xfId="6596" xr:uid="{00000000-0005-0000-0000-000023160000}"/>
    <cellStyle name="Normal 8 2 3" xfId="3289" xr:uid="{00000000-0005-0000-0000-000024160000}"/>
    <cellStyle name="Normal 8 2 3 2" xfId="4610" xr:uid="{00000000-0005-0000-0000-000025160000}"/>
    <cellStyle name="Normal 8 2 3 2 2" xfId="7778" xr:uid="{00000000-0005-0000-0000-000026160000}"/>
    <cellStyle name="Normal 8 2 3 3" xfId="3986" xr:uid="{00000000-0005-0000-0000-000027160000}"/>
    <cellStyle name="Normal 8 2 3 3 2" xfId="7154" xr:uid="{00000000-0005-0000-0000-000028160000}"/>
    <cellStyle name="Normal 8 2 3 4" xfId="6607" xr:uid="{00000000-0005-0000-0000-000029160000}"/>
    <cellStyle name="Normal 8 2 4" xfId="3987" xr:uid="{00000000-0005-0000-0000-00002A160000}"/>
    <cellStyle name="Normal 8 2 4 2" xfId="4611" xr:uid="{00000000-0005-0000-0000-00002B160000}"/>
    <cellStyle name="Normal 8 2 4 2 2" xfId="7779" xr:uid="{00000000-0005-0000-0000-00002C160000}"/>
    <cellStyle name="Normal 8 2 4 3" xfId="7155" xr:uid="{00000000-0005-0000-0000-00002D160000}"/>
    <cellStyle name="Normal 8 2 5" xfId="4608" xr:uid="{00000000-0005-0000-0000-00002E160000}"/>
    <cellStyle name="Normal 8 2 5 2" xfId="7776" xr:uid="{00000000-0005-0000-0000-00002F160000}"/>
    <cellStyle name="Normal 8 2 6" xfId="3984" xr:uid="{00000000-0005-0000-0000-000030160000}"/>
    <cellStyle name="Normal 8 2 6 2" xfId="7152" xr:uid="{00000000-0005-0000-0000-000031160000}"/>
    <cellStyle name="Normal 8 2 7" xfId="5303" xr:uid="{00000000-0005-0000-0000-000032160000}"/>
    <cellStyle name="Normal 8 2 8" xfId="6227" xr:uid="{00000000-0005-0000-0000-000033160000}"/>
    <cellStyle name="Normal 8 3" xfId="3324" xr:uid="{00000000-0005-0000-0000-000034160000}"/>
    <cellStyle name="Normal 8 3 2" xfId="3989" xr:uid="{00000000-0005-0000-0000-000035160000}"/>
    <cellStyle name="Normal 8 3 2 2" xfId="4613" xr:uid="{00000000-0005-0000-0000-000036160000}"/>
    <cellStyle name="Normal 8 3 2 2 2" xfId="7781" xr:uid="{00000000-0005-0000-0000-000037160000}"/>
    <cellStyle name="Normal 8 3 2 3" xfId="7157" xr:uid="{00000000-0005-0000-0000-000038160000}"/>
    <cellStyle name="Normal 8 3 3" xfId="3990" xr:uid="{00000000-0005-0000-0000-000039160000}"/>
    <cellStyle name="Normal 8 3 3 2" xfId="4614" xr:uid="{00000000-0005-0000-0000-00003A160000}"/>
    <cellStyle name="Normal 8 3 3 2 2" xfId="7782" xr:uid="{00000000-0005-0000-0000-00003B160000}"/>
    <cellStyle name="Normal 8 3 3 3" xfId="7158" xr:uid="{00000000-0005-0000-0000-00003C160000}"/>
    <cellStyle name="Normal 8 3 4" xfId="4612" xr:uid="{00000000-0005-0000-0000-00003D160000}"/>
    <cellStyle name="Normal 8 3 4 2" xfId="7780" xr:uid="{00000000-0005-0000-0000-00003E160000}"/>
    <cellStyle name="Normal 8 3 5" xfId="3988" xr:uid="{00000000-0005-0000-0000-00003F160000}"/>
    <cellStyle name="Normal 8 3 5 2" xfId="7156" xr:uid="{00000000-0005-0000-0000-000040160000}"/>
    <cellStyle name="Normal 8 4" xfId="3991" xr:uid="{00000000-0005-0000-0000-000041160000}"/>
    <cellStyle name="Normal 8 4 2" xfId="4615" xr:uid="{00000000-0005-0000-0000-000042160000}"/>
    <cellStyle name="Normal 8 4 2 2" xfId="7783" xr:uid="{00000000-0005-0000-0000-000043160000}"/>
    <cellStyle name="Normal 8 4 3" xfId="7159" xr:uid="{00000000-0005-0000-0000-000044160000}"/>
    <cellStyle name="Normal 8 5" xfId="3992" xr:uid="{00000000-0005-0000-0000-000045160000}"/>
    <cellStyle name="Normal 8 5 2" xfId="4616" xr:uid="{00000000-0005-0000-0000-000046160000}"/>
    <cellStyle name="Normal 8 5 2 2" xfId="7784" xr:uid="{00000000-0005-0000-0000-000047160000}"/>
    <cellStyle name="Normal 8 5 3" xfId="7160" xr:uid="{00000000-0005-0000-0000-000048160000}"/>
    <cellStyle name="Normal 8 6" xfId="3993" xr:uid="{00000000-0005-0000-0000-000049160000}"/>
    <cellStyle name="Normal 8 6 2" xfId="4617" xr:uid="{00000000-0005-0000-0000-00004A160000}"/>
    <cellStyle name="Normal 8 6 2 2" xfId="7785" xr:uid="{00000000-0005-0000-0000-00004B160000}"/>
    <cellStyle name="Normal 8 6 3" xfId="7161" xr:uid="{00000000-0005-0000-0000-00004C160000}"/>
    <cellStyle name="Normal 8 7" xfId="3983" xr:uid="{00000000-0005-0000-0000-00004D160000}"/>
    <cellStyle name="Normal 8 7 2" xfId="4607" xr:uid="{00000000-0005-0000-0000-00004E160000}"/>
    <cellStyle name="Normal 8 7 2 2" xfId="7775" xr:uid="{00000000-0005-0000-0000-00004F160000}"/>
    <cellStyle name="Normal 8 7 3" xfId="7151" xr:uid="{00000000-0005-0000-0000-000050160000}"/>
    <cellStyle name="Normal 8 8" xfId="3500" xr:uid="{00000000-0005-0000-0000-000051160000}"/>
    <cellStyle name="Normal 9" xfId="995" xr:uid="{00000000-0005-0000-0000-000052160000}"/>
    <cellStyle name="Normal 9 2" xfId="3325" xr:uid="{00000000-0005-0000-0000-000053160000}"/>
    <cellStyle name="Normal 9 2 2" xfId="3996" xr:uid="{00000000-0005-0000-0000-000054160000}"/>
    <cellStyle name="Normal 9 2 2 2" xfId="4620" xr:uid="{00000000-0005-0000-0000-000055160000}"/>
    <cellStyle name="Normal 9 2 2 2 2" xfId="7788" xr:uid="{00000000-0005-0000-0000-000056160000}"/>
    <cellStyle name="Normal 9 2 2 3" xfId="7164" xr:uid="{00000000-0005-0000-0000-000057160000}"/>
    <cellStyle name="Normal 9 2 3" xfId="3997" xr:uid="{00000000-0005-0000-0000-000058160000}"/>
    <cellStyle name="Normal 9 2 3 2" xfId="4621" xr:uid="{00000000-0005-0000-0000-000059160000}"/>
    <cellStyle name="Normal 9 2 3 2 2" xfId="7789" xr:uid="{00000000-0005-0000-0000-00005A160000}"/>
    <cellStyle name="Normal 9 2 3 3" xfId="7165" xr:uid="{00000000-0005-0000-0000-00005B160000}"/>
    <cellStyle name="Normal 9 2 4" xfId="4619" xr:uid="{00000000-0005-0000-0000-00005C160000}"/>
    <cellStyle name="Normal 9 2 4 2" xfId="7787" xr:uid="{00000000-0005-0000-0000-00005D160000}"/>
    <cellStyle name="Normal 9 2 5" xfId="3995" xr:uid="{00000000-0005-0000-0000-00005E160000}"/>
    <cellStyle name="Normal 9 2 5 2" xfId="7163" xr:uid="{00000000-0005-0000-0000-00005F160000}"/>
    <cellStyle name="Normal 9 3" xfId="3998" xr:uid="{00000000-0005-0000-0000-000060160000}"/>
    <cellStyle name="Normal 9 3 2" xfId="4622" xr:uid="{00000000-0005-0000-0000-000061160000}"/>
    <cellStyle name="Normal 9 3 2 2" xfId="7790" xr:uid="{00000000-0005-0000-0000-000062160000}"/>
    <cellStyle name="Normal 9 3 3" xfId="7166" xr:uid="{00000000-0005-0000-0000-000063160000}"/>
    <cellStyle name="Normal 9 4" xfId="3999" xr:uid="{00000000-0005-0000-0000-000064160000}"/>
    <cellStyle name="Normal 9 4 2" xfId="4623" xr:uid="{00000000-0005-0000-0000-000065160000}"/>
    <cellStyle name="Normal 9 4 2 2" xfId="7791" xr:uid="{00000000-0005-0000-0000-000066160000}"/>
    <cellStyle name="Normal 9 4 3" xfId="7167" xr:uid="{00000000-0005-0000-0000-000067160000}"/>
    <cellStyle name="Normal 9 5" xfId="4000" xr:uid="{00000000-0005-0000-0000-000068160000}"/>
    <cellStyle name="Normal 9 5 2" xfId="4624" xr:uid="{00000000-0005-0000-0000-000069160000}"/>
    <cellStyle name="Normal 9 5 2 2" xfId="7792" xr:uid="{00000000-0005-0000-0000-00006A160000}"/>
    <cellStyle name="Normal 9 5 3" xfId="7168" xr:uid="{00000000-0005-0000-0000-00006B160000}"/>
    <cellStyle name="Normal 9 6" xfId="4618" xr:uid="{00000000-0005-0000-0000-00006C160000}"/>
    <cellStyle name="Normal 9 6 2" xfId="7786" xr:uid="{00000000-0005-0000-0000-00006D160000}"/>
    <cellStyle name="Normal 9 7" xfId="3994" xr:uid="{00000000-0005-0000-0000-00006E160000}"/>
    <cellStyle name="Normal 9 7 2" xfId="7162" xr:uid="{00000000-0005-0000-0000-00006F160000}"/>
    <cellStyle name="Normal GHG Numbers (0.00)" xfId="996" xr:uid="{00000000-0005-0000-0000-000070160000}"/>
    <cellStyle name="Normal GHG Textfiels Bold" xfId="997" xr:uid="{00000000-0005-0000-0000-000071160000}"/>
    <cellStyle name="Normal GHG-Shade" xfId="998" xr:uid="{00000000-0005-0000-0000-000072160000}"/>
    <cellStyle name="Normal GHG-Shade 2" xfId="2622" xr:uid="{00000000-0005-0000-0000-000073160000}"/>
    <cellStyle name="Normale 10" xfId="999" xr:uid="{00000000-0005-0000-0000-000074160000}"/>
    <cellStyle name="Normale 10 2" xfId="1000" xr:uid="{00000000-0005-0000-0000-000075160000}"/>
    <cellStyle name="Normale 10 2 2" xfId="2624" xr:uid="{00000000-0005-0000-0000-000076160000}"/>
    <cellStyle name="Normale 10 3" xfId="1001" xr:uid="{00000000-0005-0000-0000-000077160000}"/>
    <cellStyle name="Normale 10 3 2" xfId="2625" xr:uid="{00000000-0005-0000-0000-000078160000}"/>
    <cellStyle name="Normale 10 4" xfId="2623" xr:uid="{00000000-0005-0000-0000-000079160000}"/>
    <cellStyle name="Normale 10_EDEN industria 2008 rev" xfId="1002" xr:uid="{00000000-0005-0000-0000-00007A160000}"/>
    <cellStyle name="Normale 11" xfId="1003" xr:uid="{00000000-0005-0000-0000-00007B160000}"/>
    <cellStyle name="Normale 11 2" xfId="1004" xr:uid="{00000000-0005-0000-0000-00007C160000}"/>
    <cellStyle name="Normale 11 2 2" xfId="2627" xr:uid="{00000000-0005-0000-0000-00007D160000}"/>
    <cellStyle name="Normale 11 3" xfId="1005" xr:uid="{00000000-0005-0000-0000-00007E160000}"/>
    <cellStyle name="Normale 11 3 2" xfId="2628" xr:uid="{00000000-0005-0000-0000-00007F160000}"/>
    <cellStyle name="Normale 11 4" xfId="2626" xr:uid="{00000000-0005-0000-0000-000080160000}"/>
    <cellStyle name="Normale 11_EDEN industria 2008 rev" xfId="1006" xr:uid="{00000000-0005-0000-0000-000081160000}"/>
    <cellStyle name="Normale 12" xfId="1007" xr:uid="{00000000-0005-0000-0000-000082160000}"/>
    <cellStyle name="Normale 12 2" xfId="1008" xr:uid="{00000000-0005-0000-0000-000083160000}"/>
    <cellStyle name="Normale 12 2 2" xfId="2630" xr:uid="{00000000-0005-0000-0000-000084160000}"/>
    <cellStyle name="Normale 12 3" xfId="1009" xr:uid="{00000000-0005-0000-0000-000085160000}"/>
    <cellStyle name="Normale 12 3 2" xfId="2631" xr:uid="{00000000-0005-0000-0000-000086160000}"/>
    <cellStyle name="Normale 12 4" xfId="2629" xr:uid="{00000000-0005-0000-0000-000087160000}"/>
    <cellStyle name="Normale 12_EDEN industria 2008 rev" xfId="1010" xr:uid="{00000000-0005-0000-0000-000088160000}"/>
    <cellStyle name="Normale 13" xfId="1011" xr:uid="{00000000-0005-0000-0000-000089160000}"/>
    <cellStyle name="Normale 13 2" xfId="1012" xr:uid="{00000000-0005-0000-0000-00008A160000}"/>
    <cellStyle name="Normale 13 2 2" xfId="2633" xr:uid="{00000000-0005-0000-0000-00008B160000}"/>
    <cellStyle name="Normale 13 3" xfId="1013" xr:uid="{00000000-0005-0000-0000-00008C160000}"/>
    <cellStyle name="Normale 13 3 2" xfId="2634" xr:uid="{00000000-0005-0000-0000-00008D160000}"/>
    <cellStyle name="Normale 13 4" xfId="2632" xr:uid="{00000000-0005-0000-0000-00008E160000}"/>
    <cellStyle name="Normale 13_EDEN industria 2008 rev" xfId="1014" xr:uid="{00000000-0005-0000-0000-00008F160000}"/>
    <cellStyle name="Normale 14" xfId="1015" xr:uid="{00000000-0005-0000-0000-000090160000}"/>
    <cellStyle name="Normale 14 2" xfId="1016" xr:uid="{00000000-0005-0000-0000-000091160000}"/>
    <cellStyle name="Normale 14 2 2" xfId="2636" xr:uid="{00000000-0005-0000-0000-000092160000}"/>
    <cellStyle name="Normale 14 3" xfId="1017" xr:uid="{00000000-0005-0000-0000-000093160000}"/>
    <cellStyle name="Normale 14 3 2" xfId="2637" xr:uid="{00000000-0005-0000-0000-000094160000}"/>
    <cellStyle name="Normale 14 4" xfId="2635" xr:uid="{00000000-0005-0000-0000-000095160000}"/>
    <cellStyle name="Normale 14_EDEN industria 2008 rev" xfId="1018" xr:uid="{00000000-0005-0000-0000-000096160000}"/>
    <cellStyle name="Normale 15" xfId="1019" xr:uid="{00000000-0005-0000-0000-000097160000}"/>
    <cellStyle name="Normale 15 2" xfId="1020" xr:uid="{00000000-0005-0000-0000-000098160000}"/>
    <cellStyle name="Normale 15 2 2" xfId="2639" xr:uid="{00000000-0005-0000-0000-000099160000}"/>
    <cellStyle name="Normale 15 3" xfId="1021" xr:uid="{00000000-0005-0000-0000-00009A160000}"/>
    <cellStyle name="Normale 15 3 2" xfId="2640" xr:uid="{00000000-0005-0000-0000-00009B160000}"/>
    <cellStyle name="Normale 15 4" xfId="2638" xr:uid="{00000000-0005-0000-0000-00009C160000}"/>
    <cellStyle name="Normale 15_EDEN industria 2008 rev" xfId="1022" xr:uid="{00000000-0005-0000-0000-00009D160000}"/>
    <cellStyle name="Normale 16" xfId="1023" xr:uid="{00000000-0005-0000-0000-00009E160000}"/>
    <cellStyle name="Normale 16 2" xfId="2641" xr:uid="{00000000-0005-0000-0000-00009F160000}"/>
    <cellStyle name="Normale 17" xfId="1024" xr:uid="{00000000-0005-0000-0000-0000A0160000}"/>
    <cellStyle name="Normale 17 2" xfId="2642" xr:uid="{00000000-0005-0000-0000-0000A1160000}"/>
    <cellStyle name="Normale 18" xfId="1025" xr:uid="{00000000-0005-0000-0000-0000A2160000}"/>
    <cellStyle name="Normale 19" xfId="1026" xr:uid="{00000000-0005-0000-0000-0000A3160000}"/>
    <cellStyle name="Normale 2" xfId="1027" xr:uid="{00000000-0005-0000-0000-0000A4160000}"/>
    <cellStyle name="Normale 2 2" xfId="1028" xr:uid="{00000000-0005-0000-0000-0000A5160000}"/>
    <cellStyle name="Normale 2 2 2" xfId="2644" xr:uid="{00000000-0005-0000-0000-0000A6160000}"/>
    <cellStyle name="Normale 2 3" xfId="2643" xr:uid="{00000000-0005-0000-0000-0000A7160000}"/>
    <cellStyle name="Normale 2_EDEN industria 2008 rev" xfId="1029" xr:uid="{00000000-0005-0000-0000-0000A8160000}"/>
    <cellStyle name="Normale 20" xfId="1030" xr:uid="{00000000-0005-0000-0000-0000A9160000}"/>
    <cellStyle name="Normale 20 2" xfId="2645" xr:uid="{00000000-0005-0000-0000-0000AA160000}"/>
    <cellStyle name="Normale 21" xfId="1031" xr:uid="{00000000-0005-0000-0000-0000AB160000}"/>
    <cellStyle name="Normale 21 2" xfId="2646" xr:uid="{00000000-0005-0000-0000-0000AC160000}"/>
    <cellStyle name="Normale 22" xfId="1032" xr:uid="{00000000-0005-0000-0000-0000AD160000}"/>
    <cellStyle name="Normale 22 2" xfId="2647" xr:uid="{00000000-0005-0000-0000-0000AE160000}"/>
    <cellStyle name="Normale 23" xfId="1033" xr:uid="{00000000-0005-0000-0000-0000AF160000}"/>
    <cellStyle name="Normale 23 2" xfId="2648" xr:uid="{00000000-0005-0000-0000-0000B0160000}"/>
    <cellStyle name="Normale 24" xfId="1034" xr:uid="{00000000-0005-0000-0000-0000B1160000}"/>
    <cellStyle name="Normale 24 2" xfId="2649" xr:uid="{00000000-0005-0000-0000-0000B2160000}"/>
    <cellStyle name="Normale 25" xfId="1035" xr:uid="{00000000-0005-0000-0000-0000B3160000}"/>
    <cellStyle name="Normale 25 2" xfId="2650" xr:uid="{00000000-0005-0000-0000-0000B4160000}"/>
    <cellStyle name="Normale 26" xfId="1036" xr:uid="{00000000-0005-0000-0000-0000B5160000}"/>
    <cellStyle name="Normale 26 2" xfId="2651" xr:uid="{00000000-0005-0000-0000-0000B6160000}"/>
    <cellStyle name="Normale 27" xfId="1037" xr:uid="{00000000-0005-0000-0000-0000B7160000}"/>
    <cellStyle name="Normale 27 2" xfId="2652" xr:uid="{00000000-0005-0000-0000-0000B8160000}"/>
    <cellStyle name="Normale 28" xfId="1038" xr:uid="{00000000-0005-0000-0000-0000B9160000}"/>
    <cellStyle name="Normale 28 2" xfId="2653" xr:uid="{00000000-0005-0000-0000-0000BA160000}"/>
    <cellStyle name="Normale 29" xfId="1039" xr:uid="{00000000-0005-0000-0000-0000BB160000}"/>
    <cellStyle name="Normale 29 2" xfId="2654" xr:uid="{00000000-0005-0000-0000-0000BC160000}"/>
    <cellStyle name="Normale 3" xfId="1040" xr:uid="{00000000-0005-0000-0000-0000BD160000}"/>
    <cellStyle name="Normale 3 2" xfId="1041" xr:uid="{00000000-0005-0000-0000-0000BE160000}"/>
    <cellStyle name="Normale 3 2 2" xfId="2656" xr:uid="{00000000-0005-0000-0000-0000BF160000}"/>
    <cellStyle name="Normale 3 3" xfId="1042" xr:uid="{00000000-0005-0000-0000-0000C0160000}"/>
    <cellStyle name="Normale 3 3 2" xfId="2657" xr:uid="{00000000-0005-0000-0000-0000C1160000}"/>
    <cellStyle name="Normale 3 4" xfId="2655" xr:uid="{00000000-0005-0000-0000-0000C2160000}"/>
    <cellStyle name="Normale 3_EDEN industria 2008 rev" xfId="1043" xr:uid="{00000000-0005-0000-0000-0000C3160000}"/>
    <cellStyle name="Normale 30" xfId="1044" xr:uid="{00000000-0005-0000-0000-0000C4160000}"/>
    <cellStyle name="Normale 30 2" xfId="2658" xr:uid="{00000000-0005-0000-0000-0000C5160000}"/>
    <cellStyle name="Normale 31" xfId="1045" xr:uid="{00000000-0005-0000-0000-0000C6160000}"/>
    <cellStyle name="Normale 31 2" xfId="2659" xr:uid="{00000000-0005-0000-0000-0000C7160000}"/>
    <cellStyle name="Normale 32" xfId="1046" xr:uid="{00000000-0005-0000-0000-0000C8160000}"/>
    <cellStyle name="Normale 32 2" xfId="2660" xr:uid="{00000000-0005-0000-0000-0000C9160000}"/>
    <cellStyle name="Normale 33" xfId="1047" xr:uid="{00000000-0005-0000-0000-0000CA160000}"/>
    <cellStyle name="Normale 33 2" xfId="2661" xr:uid="{00000000-0005-0000-0000-0000CB160000}"/>
    <cellStyle name="Normale 34" xfId="1048" xr:uid="{00000000-0005-0000-0000-0000CC160000}"/>
    <cellStyle name="Normale 34 2" xfId="2662" xr:uid="{00000000-0005-0000-0000-0000CD160000}"/>
    <cellStyle name="Normale 35" xfId="1049" xr:uid="{00000000-0005-0000-0000-0000CE160000}"/>
    <cellStyle name="Normale 35 2" xfId="2663" xr:uid="{00000000-0005-0000-0000-0000CF160000}"/>
    <cellStyle name="Normale 36" xfId="1050" xr:uid="{00000000-0005-0000-0000-0000D0160000}"/>
    <cellStyle name="Normale 36 2" xfId="2664" xr:uid="{00000000-0005-0000-0000-0000D1160000}"/>
    <cellStyle name="Normale 37" xfId="1051" xr:uid="{00000000-0005-0000-0000-0000D2160000}"/>
    <cellStyle name="Normale 37 2" xfId="2665" xr:uid="{00000000-0005-0000-0000-0000D3160000}"/>
    <cellStyle name="Normale 38" xfId="1052" xr:uid="{00000000-0005-0000-0000-0000D4160000}"/>
    <cellStyle name="Normale 38 2" xfId="2666" xr:uid="{00000000-0005-0000-0000-0000D5160000}"/>
    <cellStyle name="Normale 39" xfId="1053" xr:uid="{00000000-0005-0000-0000-0000D6160000}"/>
    <cellStyle name="Normale 39 2" xfId="2667" xr:uid="{00000000-0005-0000-0000-0000D7160000}"/>
    <cellStyle name="Normale 4" xfId="1054" xr:uid="{00000000-0005-0000-0000-0000D8160000}"/>
    <cellStyle name="Normale 4 2" xfId="1055" xr:uid="{00000000-0005-0000-0000-0000D9160000}"/>
    <cellStyle name="Normale 4 2 2" xfId="2669" xr:uid="{00000000-0005-0000-0000-0000DA160000}"/>
    <cellStyle name="Normale 4 3" xfId="1056" xr:uid="{00000000-0005-0000-0000-0000DB160000}"/>
    <cellStyle name="Normale 4 3 2" xfId="2670" xr:uid="{00000000-0005-0000-0000-0000DC160000}"/>
    <cellStyle name="Normale 4 4" xfId="2668" xr:uid="{00000000-0005-0000-0000-0000DD160000}"/>
    <cellStyle name="Normale 4_EDEN industria 2008 rev" xfId="1057" xr:uid="{00000000-0005-0000-0000-0000DE160000}"/>
    <cellStyle name="Normale 40" xfId="1058" xr:uid="{00000000-0005-0000-0000-0000DF160000}"/>
    <cellStyle name="Normale 40 2" xfId="2671" xr:uid="{00000000-0005-0000-0000-0000E0160000}"/>
    <cellStyle name="Normale 41" xfId="1059" xr:uid="{00000000-0005-0000-0000-0000E1160000}"/>
    <cellStyle name="Normale 41 2" xfId="2672" xr:uid="{00000000-0005-0000-0000-0000E2160000}"/>
    <cellStyle name="Normale 42" xfId="1060" xr:uid="{00000000-0005-0000-0000-0000E3160000}"/>
    <cellStyle name="Normale 42 2" xfId="2673" xr:uid="{00000000-0005-0000-0000-0000E4160000}"/>
    <cellStyle name="Normale 43" xfId="1061" xr:uid="{00000000-0005-0000-0000-0000E5160000}"/>
    <cellStyle name="Normale 43 2" xfId="2674" xr:uid="{00000000-0005-0000-0000-0000E6160000}"/>
    <cellStyle name="Normale 44" xfId="1062" xr:uid="{00000000-0005-0000-0000-0000E7160000}"/>
    <cellStyle name="Normale 44 2" xfId="2675" xr:uid="{00000000-0005-0000-0000-0000E8160000}"/>
    <cellStyle name="Normale 45" xfId="1063" xr:uid="{00000000-0005-0000-0000-0000E9160000}"/>
    <cellStyle name="Normale 45 2" xfId="2676" xr:uid="{00000000-0005-0000-0000-0000EA160000}"/>
    <cellStyle name="Normale 46" xfId="1064" xr:uid="{00000000-0005-0000-0000-0000EB160000}"/>
    <cellStyle name="Normale 46 2" xfId="2677" xr:uid="{00000000-0005-0000-0000-0000EC160000}"/>
    <cellStyle name="Normale 47" xfId="1065" xr:uid="{00000000-0005-0000-0000-0000ED160000}"/>
    <cellStyle name="Normale 47 2" xfId="2678" xr:uid="{00000000-0005-0000-0000-0000EE160000}"/>
    <cellStyle name="Normale 48" xfId="1066" xr:uid="{00000000-0005-0000-0000-0000EF160000}"/>
    <cellStyle name="Normale 48 2" xfId="2679" xr:uid="{00000000-0005-0000-0000-0000F0160000}"/>
    <cellStyle name="Normale 49" xfId="1067" xr:uid="{00000000-0005-0000-0000-0000F1160000}"/>
    <cellStyle name="Normale 49 2" xfId="2680" xr:uid="{00000000-0005-0000-0000-0000F2160000}"/>
    <cellStyle name="Normale 5" xfId="1068" xr:uid="{00000000-0005-0000-0000-0000F3160000}"/>
    <cellStyle name="Normale 5 2" xfId="1069" xr:uid="{00000000-0005-0000-0000-0000F4160000}"/>
    <cellStyle name="Normale 5 2 2" xfId="2682" xr:uid="{00000000-0005-0000-0000-0000F5160000}"/>
    <cellStyle name="Normale 5 3" xfId="1070" xr:uid="{00000000-0005-0000-0000-0000F6160000}"/>
    <cellStyle name="Normale 5 3 2" xfId="2683" xr:uid="{00000000-0005-0000-0000-0000F7160000}"/>
    <cellStyle name="Normale 5 4" xfId="2681" xr:uid="{00000000-0005-0000-0000-0000F8160000}"/>
    <cellStyle name="Normale 5_EDEN industria 2008 rev" xfId="1071" xr:uid="{00000000-0005-0000-0000-0000F9160000}"/>
    <cellStyle name="Normale 50" xfId="1072" xr:uid="{00000000-0005-0000-0000-0000FA160000}"/>
    <cellStyle name="Normale 50 2" xfId="2684" xr:uid="{00000000-0005-0000-0000-0000FB160000}"/>
    <cellStyle name="Normale 51" xfId="1073" xr:uid="{00000000-0005-0000-0000-0000FC160000}"/>
    <cellStyle name="Normale 51 2" xfId="2685" xr:uid="{00000000-0005-0000-0000-0000FD160000}"/>
    <cellStyle name="Normale 52" xfId="1074" xr:uid="{00000000-0005-0000-0000-0000FE160000}"/>
    <cellStyle name="Normale 52 2" xfId="2686" xr:uid="{00000000-0005-0000-0000-0000FF160000}"/>
    <cellStyle name="Normale 53" xfId="1075" xr:uid="{00000000-0005-0000-0000-000000170000}"/>
    <cellStyle name="Normale 53 2" xfId="2687" xr:uid="{00000000-0005-0000-0000-000001170000}"/>
    <cellStyle name="Normale 54" xfId="1076" xr:uid="{00000000-0005-0000-0000-000002170000}"/>
    <cellStyle name="Normale 54 2" xfId="2688" xr:uid="{00000000-0005-0000-0000-000003170000}"/>
    <cellStyle name="Normale 55" xfId="1077" xr:uid="{00000000-0005-0000-0000-000004170000}"/>
    <cellStyle name="Normale 55 2" xfId="2689" xr:uid="{00000000-0005-0000-0000-000005170000}"/>
    <cellStyle name="Normale 56" xfId="1078" xr:uid="{00000000-0005-0000-0000-000006170000}"/>
    <cellStyle name="Normale 56 2" xfId="2690" xr:uid="{00000000-0005-0000-0000-000007170000}"/>
    <cellStyle name="Normale 57" xfId="1079" xr:uid="{00000000-0005-0000-0000-000008170000}"/>
    <cellStyle name="Normale 57 2" xfId="2691" xr:uid="{00000000-0005-0000-0000-000009170000}"/>
    <cellStyle name="Normale 58" xfId="1080" xr:uid="{00000000-0005-0000-0000-00000A170000}"/>
    <cellStyle name="Normale 58 2" xfId="2692" xr:uid="{00000000-0005-0000-0000-00000B170000}"/>
    <cellStyle name="Normale 59" xfId="1081" xr:uid="{00000000-0005-0000-0000-00000C170000}"/>
    <cellStyle name="Normale 59 2" xfId="2693" xr:uid="{00000000-0005-0000-0000-00000D170000}"/>
    <cellStyle name="Normale 6" xfId="1082" xr:uid="{00000000-0005-0000-0000-00000E170000}"/>
    <cellStyle name="Normale 6 2" xfId="1083" xr:uid="{00000000-0005-0000-0000-00000F170000}"/>
    <cellStyle name="Normale 6 2 2" xfId="2695" xr:uid="{00000000-0005-0000-0000-000010170000}"/>
    <cellStyle name="Normale 6 3" xfId="1084" xr:uid="{00000000-0005-0000-0000-000011170000}"/>
    <cellStyle name="Normale 6 3 2" xfId="2696" xr:uid="{00000000-0005-0000-0000-000012170000}"/>
    <cellStyle name="Normale 6 4" xfId="2694" xr:uid="{00000000-0005-0000-0000-000013170000}"/>
    <cellStyle name="Normale 6_EDEN industria 2008 rev" xfId="1085" xr:uid="{00000000-0005-0000-0000-000014170000}"/>
    <cellStyle name="Normale 60" xfId="1086" xr:uid="{00000000-0005-0000-0000-000015170000}"/>
    <cellStyle name="Normale 60 2" xfId="2697" xr:uid="{00000000-0005-0000-0000-000016170000}"/>
    <cellStyle name="Normale 61" xfId="1087" xr:uid="{00000000-0005-0000-0000-000017170000}"/>
    <cellStyle name="Normale 61 2" xfId="2698" xr:uid="{00000000-0005-0000-0000-000018170000}"/>
    <cellStyle name="Normale 62" xfId="1088" xr:uid="{00000000-0005-0000-0000-000019170000}"/>
    <cellStyle name="Normale 62 2" xfId="2699" xr:uid="{00000000-0005-0000-0000-00001A170000}"/>
    <cellStyle name="Normale 63" xfId="1089" xr:uid="{00000000-0005-0000-0000-00001B170000}"/>
    <cellStyle name="Normale 63 2" xfId="2700" xr:uid="{00000000-0005-0000-0000-00001C170000}"/>
    <cellStyle name="Normale 64" xfId="1090" xr:uid="{00000000-0005-0000-0000-00001D170000}"/>
    <cellStyle name="Normale 64 2" xfId="2701" xr:uid="{00000000-0005-0000-0000-00001E170000}"/>
    <cellStyle name="Normale 65" xfId="1091" xr:uid="{00000000-0005-0000-0000-00001F170000}"/>
    <cellStyle name="Normale 65 2" xfId="2702" xr:uid="{00000000-0005-0000-0000-000020170000}"/>
    <cellStyle name="Normale 7" xfId="1092" xr:uid="{00000000-0005-0000-0000-000021170000}"/>
    <cellStyle name="Normale 7 2" xfId="1093" xr:uid="{00000000-0005-0000-0000-000022170000}"/>
    <cellStyle name="Normale 7 2 2" xfId="2704" xr:uid="{00000000-0005-0000-0000-000023170000}"/>
    <cellStyle name="Normale 7 3" xfId="1094" xr:uid="{00000000-0005-0000-0000-000024170000}"/>
    <cellStyle name="Normale 7 3 2" xfId="2705" xr:uid="{00000000-0005-0000-0000-000025170000}"/>
    <cellStyle name="Normale 7 4" xfId="2703" xr:uid="{00000000-0005-0000-0000-000026170000}"/>
    <cellStyle name="Normale 7_EDEN industria 2008 rev" xfId="1095" xr:uid="{00000000-0005-0000-0000-000027170000}"/>
    <cellStyle name="Normale 8" xfId="1096" xr:uid="{00000000-0005-0000-0000-000028170000}"/>
    <cellStyle name="Normale 8 2" xfId="1097" xr:uid="{00000000-0005-0000-0000-000029170000}"/>
    <cellStyle name="Normale 8 2 2" xfId="2707" xr:uid="{00000000-0005-0000-0000-00002A170000}"/>
    <cellStyle name="Normale 8 3" xfId="1098" xr:uid="{00000000-0005-0000-0000-00002B170000}"/>
    <cellStyle name="Normale 8 3 2" xfId="2708" xr:uid="{00000000-0005-0000-0000-00002C170000}"/>
    <cellStyle name="Normale 8 4" xfId="2706" xr:uid="{00000000-0005-0000-0000-00002D170000}"/>
    <cellStyle name="Normale 8_EDEN industria 2008 rev" xfId="1099" xr:uid="{00000000-0005-0000-0000-00002E170000}"/>
    <cellStyle name="Normale 9" xfId="1100" xr:uid="{00000000-0005-0000-0000-00002F170000}"/>
    <cellStyle name="Normale 9 2" xfId="1101" xr:uid="{00000000-0005-0000-0000-000030170000}"/>
    <cellStyle name="Normale 9 2 2" xfId="2710" xr:uid="{00000000-0005-0000-0000-000031170000}"/>
    <cellStyle name="Normale 9 3" xfId="1102" xr:uid="{00000000-0005-0000-0000-000032170000}"/>
    <cellStyle name="Normale 9 3 2" xfId="2711" xr:uid="{00000000-0005-0000-0000-000033170000}"/>
    <cellStyle name="Normale 9 4" xfId="2709" xr:uid="{00000000-0005-0000-0000-000034170000}"/>
    <cellStyle name="Normale 9_EDEN industria 2008 rev" xfId="1103" xr:uid="{00000000-0005-0000-0000-000035170000}"/>
    <cellStyle name="Normale_B2020" xfId="1104" xr:uid="{00000000-0005-0000-0000-000036170000}"/>
    <cellStyle name="Nota" xfId="1105" xr:uid="{00000000-0005-0000-0000-000037170000}"/>
    <cellStyle name="Nota 2" xfId="1106" xr:uid="{00000000-0005-0000-0000-000038170000}"/>
    <cellStyle name="Nota 2 2" xfId="2712" xr:uid="{00000000-0005-0000-0000-000039170000}"/>
    <cellStyle name="Nota 3" xfId="1107" xr:uid="{00000000-0005-0000-0000-00003A170000}"/>
    <cellStyle name="Nota 3 2" xfId="1108" xr:uid="{00000000-0005-0000-0000-00003B170000}"/>
    <cellStyle name="Nota 3 3" xfId="1109" xr:uid="{00000000-0005-0000-0000-00003C170000}"/>
    <cellStyle name="Nota 3 3 2" xfId="2714" xr:uid="{00000000-0005-0000-0000-00003D170000}"/>
    <cellStyle name="Nota 3 4" xfId="2713" xr:uid="{00000000-0005-0000-0000-00003E170000}"/>
    <cellStyle name="Nota 4" xfId="1110" xr:uid="{00000000-0005-0000-0000-00003F170000}"/>
    <cellStyle name="Nota 4 2" xfId="1111" xr:uid="{00000000-0005-0000-0000-000040170000}"/>
    <cellStyle name="Nota 4 2 2" xfId="2716" xr:uid="{00000000-0005-0000-0000-000041170000}"/>
    <cellStyle name="Nota 4 3" xfId="2715" xr:uid="{00000000-0005-0000-0000-000042170000}"/>
    <cellStyle name="Nota 5" xfId="1112" xr:uid="{00000000-0005-0000-0000-000043170000}"/>
    <cellStyle name="Note 2" xfId="3450" xr:uid="{00000000-0005-0000-0000-000044170000}"/>
    <cellStyle name="Note 2 2" xfId="3522" xr:uid="{00000000-0005-0000-0000-000045170000}"/>
    <cellStyle name="Nuovo" xfId="1113" xr:uid="{00000000-0005-0000-0000-000046170000}"/>
    <cellStyle name="Nuovo 10" xfId="1114" xr:uid="{00000000-0005-0000-0000-000047170000}"/>
    <cellStyle name="Nuovo 10 2" xfId="1115" xr:uid="{00000000-0005-0000-0000-000048170000}"/>
    <cellStyle name="Nuovo 10 2 2" xfId="2717" xr:uid="{00000000-0005-0000-0000-000049170000}"/>
    <cellStyle name="Nuovo 10 3" xfId="1116" xr:uid="{00000000-0005-0000-0000-00004A170000}"/>
    <cellStyle name="Nuovo 10 3 2" xfId="1117" xr:uid="{00000000-0005-0000-0000-00004B170000}"/>
    <cellStyle name="Nuovo 10 3 3" xfId="1118" xr:uid="{00000000-0005-0000-0000-00004C170000}"/>
    <cellStyle name="Nuovo 10 3 3 2" xfId="2719" xr:uid="{00000000-0005-0000-0000-00004D170000}"/>
    <cellStyle name="Nuovo 10 3 4" xfId="2718" xr:uid="{00000000-0005-0000-0000-00004E170000}"/>
    <cellStyle name="Nuovo 10 4" xfId="1119" xr:uid="{00000000-0005-0000-0000-00004F170000}"/>
    <cellStyle name="Nuovo 10 4 2" xfId="1120" xr:uid="{00000000-0005-0000-0000-000050170000}"/>
    <cellStyle name="Nuovo 10 4 2 2" xfId="2721" xr:uid="{00000000-0005-0000-0000-000051170000}"/>
    <cellStyle name="Nuovo 10 4 3" xfId="2720" xr:uid="{00000000-0005-0000-0000-000052170000}"/>
    <cellStyle name="Nuovo 10 5" xfId="1121" xr:uid="{00000000-0005-0000-0000-000053170000}"/>
    <cellStyle name="Nuovo 11" xfId="1122" xr:uid="{00000000-0005-0000-0000-000054170000}"/>
    <cellStyle name="Nuovo 11 2" xfId="1123" xr:uid="{00000000-0005-0000-0000-000055170000}"/>
    <cellStyle name="Nuovo 11 2 2" xfId="2722" xr:uid="{00000000-0005-0000-0000-000056170000}"/>
    <cellStyle name="Nuovo 11 3" xfId="1124" xr:uid="{00000000-0005-0000-0000-000057170000}"/>
    <cellStyle name="Nuovo 11 3 2" xfId="1125" xr:uid="{00000000-0005-0000-0000-000058170000}"/>
    <cellStyle name="Nuovo 11 3 3" xfId="1126" xr:uid="{00000000-0005-0000-0000-000059170000}"/>
    <cellStyle name="Nuovo 11 3 3 2" xfId="2724" xr:uid="{00000000-0005-0000-0000-00005A170000}"/>
    <cellStyle name="Nuovo 11 3 4" xfId="2723" xr:uid="{00000000-0005-0000-0000-00005B170000}"/>
    <cellStyle name="Nuovo 11 4" xfId="1127" xr:uid="{00000000-0005-0000-0000-00005C170000}"/>
    <cellStyle name="Nuovo 11 4 2" xfId="1128" xr:uid="{00000000-0005-0000-0000-00005D170000}"/>
    <cellStyle name="Nuovo 11 4 2 2" xfId="2726" xr:uid="{00000000-0005-0000-0000-00005E170000}"/>
    <cellStyle name="Nuovo 11 4 3" xfId="2725" xr:uid="{00000000-0005-0000-0000-00005F170000}"/>
    <cellStyle name="Nuovo 11 5" xfId="1129" xr:uid="{00000000-0005-0000-0000-000060170000}"/>
    <cellStyle name="Nuovo 12" xfId="1130" xr:uid="{00000000-0005-0000-0000-000061170000}"/>
    <cellStyle name="Nuovo 12 2" xfId="1131" xr:uid="{00000000-0005-0000-0000-000062170000}"/>
    <cellStyle name="Nuovo 12 2 2" xfId="2727" xr:uid="{00000000-0005-0000-0000-000063170000}"/>
    <cellStyle name="Nuovo 12 3" xfId="1132" xr:uid="{00000000-0005-0000-0000-000064170000}"/>
    <cellStyle name="Nuovo 12 3 2" xfId="1133" xr:uid="{00000000-0005-0000-0000-000065170000}"/>
    <cellStyle name="Nuovo 12 3 3" xfId="1134" xr:uid="{00000000-0005-0000-0000-000066170000}"/>
    <cellStyle name="Nuovo 12 3 3 2" xfId="2729" xr:uid="{00000000-0005-0000-0000-000067170000}"/>
    <cellStyle name="Nuovo 12 3 4" xfId="2728" xr:uid="{00000000-0005-0000-0000-000068170000}"/>
    <cellStyle name="Nuovo 12 4" xfId="1135" xr:uid="{00000000-0005-0000-0000-000069170000}"/>
    <cellStyle name="Nuovo 12 4 2" xfId="1136" xr:uid="{00000000-0005-0000-0000-00006A170000}"/>
    <cellStyle name="Nuovo 12 4 2 2" xfId="2731" xr:uid="{00000000-0005-0000-0000-00006B170000}"/>
    <cellStyle name="Nuovo 12 4 3" xfId="2730" xr:uid="{00000000-0005-0000-0000-00006C170000}"/>
    <cellStyle name="Nuovo 12 5" xfId="1137" xr:uid="{00000000-0005-0000-0000-00006D170000}"/>
    <cellStyle name="Nuovo 13" xfId="1138" xr:uid="{00000000-0005-0000-0000-00006E170000}"/>
    <cellStyle name="Nuovo 13 2" xfId="1139" xr:uid="{00000000-0005-0000-0000-00006F170000}"/>
    <cellStyle name="Nuovo 13 2 2" xfId="2732" xr:uid="{00000000-0005-0000-0000-000070170000}"/>
    <cellStyle name="Nuovo 13 3" xfId="1140" xr:uid="{00000000-0005-0000-0000-000071170000}"/>
    <cellStyle name="Nuovo 13 3 2" xfId="1141" xr:uid="{00000000-0005-0000-0000-000072170000}"/>
    <cellStyle name="Nuovo 13 3 3" xfId="1142" xr:uid="{00000000-0005-0000-0000-000073170000}"/>
    <cellStyle name="Nuovo 13 3 3 2" xfId="2734" xr:uid="{00000000-0005-0000-0000-000074170000}"/>
    <cellStyle name="Nuovo 13 3 4" xfId="2733" xr:uid="{00000000-0005-0000-0000-000075170000}"/>
    <cellStyle name="Nuovo 13 4" xfId="1143" xr:uid="{00000000-0005-0000-0000-000076170000}"/>
    <cellStyle name="Nuovo 13 4 2" xfId="1144" xr:uid="{00000000-0005-0000-0000-000077170000}"/>
    <cellStyle name="Nuovo 13 4 2 2" xfId="2736" xr:uid="{00000000-0005-0000-0000-000078170000}"/>
    <cellStyle name="Nuovo 13 4 3" xfId="2735" xr:uid="{00000000-0005-0000-0000-000079170000}"/>
    <cellStyle name="Nuovo 13 5" xfId="1145" xr:uid="{00000000-0005-0000-0000-00007A170000}"/>
    <cellStyle name="Nuovo 14" xfId="1146" xr:uid="{00000000-0005-0000-0000-00007B170000}"/>
    <cellStyle name="Nuovo 14 2" xfId="1147" xr:uid="{00000000-0005-0000-0000-00007C170000}"/>
    <cellStyle name="Nuovo 14 2 2" xfId="2737" xr:uid="{00000000-0005-0000-0000-00007D170000}"/>
    <cellStyle name="Nuovo 14 3" xfId="1148" xr:uid="{00000000-0005-0000-0000-00007E170000}"/>
    <cellStyle name="Nuovo 14 3 2" xfId="1149" xr:uid="{00000000-0005-0000-0000-00007F170000}"/>
    <cellStyle name="Nuovo 14 3 3" xfId="1150" xr:uid="{00000000-0005-0000-0000-000080170000}"/>
    <cellStyle name="Nuovo 14 3 3 2" xfId="2739" xr:uid="{00000000-0005-0000-0000-000081170000}"/>
    <cellStyle name="Nuovo 14 3 4" xfId="2738" xr:uid="{00000000-0005-0000-0000-000082170000}"/>
    <cellStyle name="Nuovo 14 4" xfId="1151" xr:uid="{00000000-0005-0000-0000-000083170000}"/>
    <cellStyle name="Nuovo 14 4 2" xfId="1152" xr:uid="{00000000-0005-0000-0000-000084170000}"/>
    <cellStyle name="Nuovo 14 4 2 2" xfId="2741" xr:uid="{00000000-0005-0000-0000-000085170000}"/>
    <cellStyle name="Nuovo 14 4 3" xfId="2740" xr:uid="{00000000-0005-0000-0000-000086170000}"/>
    <cellStyle name="Nuovo 14 5" xfId="1153" xr:uid="{00000000-0005-0000-0000-000087170000}"/>
    <cellStyle name="Nuovo 15" xfId="1154" xr:uid="{00000000-0005-0000-0000-000088170000}"/>
    <cellStyle name="Nuovo 15 2" xfId="1155" xr:uid="{00000000-0005-0000-0000-000089170000}"/>
    <cellStyle name="Nuovo 15 2 2" xfId="2742" xr:uid="{00000000-0005-0000-0000-00008A170000}"/>
    <cellStyle name="Nuovo 15 3" xfId="1156" xr:uid="{00000000-0005-0000-0000-00008B170000}"/>
    <cellStyle name="Nuovo 15 3 2" xfId="1157" xr:uid="{00000000-0005-0000-0000-00008C170000}"/>
    <cellStyle name="Nuovo 15 3 3" xfId="1158" xr:uid="{00000000-0005-0000-0000-00008D170000}"/>
    <cellStyle name="Nuovo 15 3 3 2" xfId="2744" xr:uid="{00000000-0005-0000-0000-00008E170000}"/>
    <cellStyle name="Nuovo 15 3 4" xfId="2743" xr:uid="{00000000-0005-0000-0000-00008F170000}"/>
    <cellStyle name="Nuovo 15 4" xfId="1159" xr:uid="{00000000-0005-0000-0000-000090170000}"/>
    <cellStyle name="Nuovo 15 4 2" xfId="1160" xr:uid="{00000000-0005-0000-0000-000091170000}"/>
    <cellStyle name="Nuovo 15 4 2 2" xfId="2746" xr:uid="{00000000-0005-0000-0000-000092170000}"/>
    <cellStyle name="Nuovo 15 4 3" xfId="2745" xr:uid="{00000000-0005-0000-0000-000093170000}"/>
    <cellStyle name="Nuovo 15 5" xfId="1161" xr:uid="{00000000-0005-0000-0000-000094170000}"/>
    <cellStyle name="Nuovo 16" xfId="1162" xr:uid="{00000000-0005-0000-0000-000095170000}"/>
    <cellStyle name="Nuovo 16 2" xfId="1163" xr:uid="{00000000-0005-0000-0000-000096170000}"/>
    <cellStyle name="Nuovo 16 2 2" xfId="2747" xr:uid="{00000000-0005-0000-0000-000097170000}"/>
    <cellStyle name="Nuovo 16 3" xfId="1164" xr:uid="{00000000-0005-0000-0000-000098170000}"/>
    <cellStyle name="Nuovo 16 3 2" xfId="1165" xr:uid="{00000000-0005-0000-0000-000099170000}"/>
    <cellStyle name="Nuovo 16 3 3" xfId="1166" xr:uid="{00000000-0005-0000-0000-00009A170000}"/>
    <cellStyle name="Nuovo 16 3 3 2" xfId="2749" xr:uid="{00000000-0005-0000-0000-00009B170000}"/>
    <cellStyle name="Nuovo 16 3 4" xfId="2748" xr:uid="{00000000-0005-0000-0000-00009C170000}"/>
    <cellStyle name="Nuovo 16 4" xfId="1167" xr:uid="{00000000-0005-0000-0000-00009D170000}"/>
    <cellStyle name="Nuovo 16 4 2" xfId="1168" xr:uid="{00000000-0005-0000-0000-00009E170000}"/>
    <cellStyle name="Nuovo 16 4 2 2" xfId="2751" xr:uid="{00000000-0005-0000-0000-00009F170000}"/>
    <cellStyle name="Nuovo 16 4 3" xfId="2750" xr:uid="{00000000-0005-0000-0000-0000A0170000}"/>
    <cellStyle name="Nuovo 16 5" xfId="1169" xr:uid="{00000000-0005-0000-0000-0000A1170000}"/>
    <cellStyle name="Nuovo 17" xfId="1170" xr:uid="{00000000-0005-0000-0000-0000A2170000}"/>
    <cellStyle name="Nuovo 17 2" xfId="1171" xr:uid="{00000000-0005-0000-0000-0000A3170000}"/>
    <cellStyle name="Nuovo 17 2 2" xfId="2752" xr:uid="{00000000-0005-0000-0000-0000A4170000}"/>
    <cellStyle name="Nuovo 17 3" xfId="1172" xr:uid="{00000000-0005-0000-0000-0000A5170000}"/>
    <cellStyle name="Nuovo 17 3 2" xfId="1173" xr:uid="{00000000-0005-0000-0000-0000A6170000}"/>
    <cellStyle name="Nuovo 17 3 3" xfId="1174" xr:uid="{00000000-0005-0000-0000-0000A7170000}"/>
    <cellStyle name="Nuovo 17 3 3 2" xfId="2754" xr:uid="{00000000-0005-0000-0000-0000A8170000}"/>
    <cellStyle name="Nuovo 17 3 4" xfId="2753" xr:uid="{00000000-0005-0000-0000-0000A9170000}"/>
    <cellStyle name="Nuovo 17 4" xfId="1175" xr:uid="{00000000-0005-0000-0000-0000AA170000}"/>
    <cellStyle name="Nuovo 17 4 2" xfId="1176" xr:uid="{00000000-0005-0000-0000-0000AB170000}"/>
    <cellStyle name="Nuovo 17 4 2 2" xfId="2756" xr:uid="{00000000-0005-0000-0000-0000AC170000}"/>
    <cellStyle name="Nuovo 17 4 3" xfId="2755" xr:uid="{00000000-0005-0000-0000-0000AD170000}"/>
    <cellStyle name="Nuovo 17 5" xfId="1177" xr:uid="{00000000-0005-0000-0000-0000AE170000}"/>
    <cellStyle name="Nuovo 18" xfId="1178" xr:uid="{00000000-0005-0000-0000-0000AF170000}"/>
    <cellStyle name="Nuovo 18 2" xfId="1179" xr:uid="{00000000-0005-0000-0000-0000B0170000}"/>
    <cellStyle name="Nuovo 18 2 2" xfId="2757" xr:uid="{00000000-0005-0000-0000-0000B1170000}"/>
    <cellStyle name="Nuovo 18 3" xfId="1180" xr:uid="{00000000-0005-0000-0000-0000B2170000}"/>
    <cellStyle name="Nuovo 18 3 2" xfId="1181" xr:uid="{00000000-0005-0000-0000-0000B3170000}"/>
    <cellStyle name="Nuovo 18 3 3" xfId="1182" xr:uid="{00000000-0005-0000-0000-0000B4170000}"/>
    <cellStyle name="Nuovo 18 3 3 2" xfId="2759" xr:uid="{00000000-0005-0000-0000-0000B5170000}"/>
    <cellStyle name="Nuovo 18 3 4" xfId="2758" xr:uid="{00000000-0005-0000-0000-0000B6170000}"/>
    <cellStyle name="Nuovo 18 4" xfId="1183" xr:uid="{00000000-0005-0000-0000-0000B7170000}"/>
    <cellStyle name="Nuovo 18 4 2" xfId="1184" xr:uid="{00000000-0005-0000-0000-0000B8170000}"/>
    <cellStyle name="Nuovo 18 4 2 2" xfId="2761" xr:uid="{00000000-0005-0000-0000-0000B9170000}"/>
    <cellStyle name="Nuovo 18 4 3" xfId="2760" xr:uid="{00000000-0005-0000-0000-0000BA170000}"/>
    <cellStyle name="Nuovo 18 5" xfId="1185" xr:uid="{00000000-0005-0000-0000-0000BB170000}"/>
    <cellStyle name="Nuovo 19" xfId="1186" xr:uid="{00000000-0005-0000-0000-0000BC170000}"/>
    <cellStyle name="Nuovo 19 2" xfId="1187" xr:uid="{00000000-0005-0000-0000-0000BD170000}"/>
    <cellStyle name="Nuovo 19 2 2" xfId="2762" xr:uid="{00000000-0005-0000-0000-0000BE170000}"/>
    <cellStyle name="Nuovo 19 3" xfId="1188" xr:uid="{00000000-0005-0000-0000-0000BF170000}"/>
    <cellStyle name="Nuovo 19 3 2" xfId="1189" xr:uid="{00000000-0005-0000-0000-0000C0170000}"/>
    <cellStyle name="Nuovo 19 3 3" xfId="1190" xr:uid="{00000000-0005-0000-0000-0000C1170000}"/>
    <cellStyle name="Nuovo 19 3 3 2" xfId="2764" xr:uid="{00000000-0005-0000-0000-0000C2170000}"/>
    <cellStyle name="Nuovo 19 3 4" xfId="2763" xr:uid="{00000000-0005-0000-0000-0000C3170000}"/>
    <cellStyle name="Nuovo 19 4" xfId="1191" xr:uid="{00000000-0005-0000-0000-0000C4170000}"/>
    <cellStyle name="Nuovo 19 4 2" xfId="1192" xr:uid="{00000000-0005-0000-0000-0000C5170000}"/>
    <cellStyle name="Nuovo 19 4 2 2" xfId="2766" xr:uid="{00000000-0005-0000-0000-0000C6170000}"/>
    <cellStyle name="Nuovo 19 4 3" xfId="2765" xr:uid="{00000000-0005-0000-0000-0000C7170000}"/>
    <cellStyle name="Nuovo 19 5" xfId="1193" xr:uid="{00000000-0005-0000-0000-0000C8170000}"/>
    <cellStyle name="Nuovo 2" xfId="1194" xr:uid="{00000000-0005-0000-0000-0000C9170000}"/>
    <cellStyle name="Nuovo 2 2" xfId="1195" xr:uid="{00000000-0005-0000-0000-0000CA170000}"/>
    <cellStyle name="Nuovo 2 2 2" xfId="2767" xr:uid="{00000000-0005-0000-0000-0000CB170000}"/>
    <cellStyle name="Nuovo 2 3" xfId="1196" xr:uid="{00000000-0005-0000-0000-0000CC170000}"/>
    <cellStyle name="Nuovo 2 3 2" xfId="1197" xr:uid="{00000000-0005-0000-0000-0000CD170000}"/>
    <cellStyle name="Nuovo 2 3 3" xfId="1198" xr:uid="{00000000-0005-0000-0000-0000CE170000}"/>
    <cellStyle name="Nuovo 2 3 3 2" xfId="2769" xr:uid="{00000000-0005-0000-0000-0000CF170000}"/>
    <cellStyle name="Nuovo 2 3 4" xfId="2768" xr:uid="{00000000-0005-0000-0000-0000D0170000}"/>
    <cellStyle name="Nuovo 2 4" xfId="1199" xr:uid="{00000000-0005-0000-0000-0000D1170000}"/>
    <cellStyle name="Nuovo 2 4 2" xfId="1200" xr:uid="{00000000-0005-0000-0000-0000D2170000}"/>
    <cellStyle name="Nuovo 2 4 2 2" xfId="2771" xr:uid="{00000000-0005-0000-0000-0000D3170000}"/>
    <cellStyle name="Nuovo 2 4 3" xfId="2770" xr:uid="{00000000-0005-0000-0000-0000D4170000}"/>
    <cellStyle name="Nuovo 2 5" xfId="1201" xr:uid="{00000000-0005-0000-0000-0000D5170000}"/>
    <cellStyle name="Nuovo 20" xfId="1202" xr:uid="{00000000-0005-0000-0000-0000D6170000}"/>
    <cellStyle name="Nuovo 20 2" xfId="1203" xr:uid="{00000000-0005-0000-0000-0000D7170000}"/>
    <cellStyle name="Nuovo 20 2 2" xfId="2772" xr:uid="{00000000-0005-0000-0000-0000D8170000}"/>
    <cellStyle name="Nuovo 20 3" xfId="1204" xr:uid="{00000000-0005-0000-0000-0000D9170000}"/>
    <cellStyle name="Nuovo 20 3 2" xfId="1205" xr:uid="{00000000-0005-0000-0000-0000DA170000}"/>
    <cellStyle name="Nuovo 20 3 3" xfId="1206" xr:uid="{00000000-0005-0000-0000-0000DB170000}"/>
    <cellStyle name="Nuovo 20 3 3 2" xfId="2774" xr:uid="{00000000-0005-0000-0000-0000DC170000}"/>
    <cellStyle name="Nuovo 20 3 4" xfId="2773" xr:uid="{00000000-0005-0000-0000-0000DD170000}"/>
    <cellStyle name="Nuovo 20 4" xfId="1207" xr:uid="{00000000-0005-0000-0000-0000DE170000}"/>
    <cellStyle name="Nuovo 20 4 2" xfId="1208" xr:uid="{00000000-0005-0000-0000-0000DF170000}"/>
    <cellStyle name="Nuovo 20 4 2 2" xfId="2776" xr:uid="{00000000-0005-0000-0000-0000E0170000}"/>
    <cellStyle name="Nuovo 20 4 3" xfId="2775" xr:uid="{00000000-0005-0000-0000-0000E1170000}"/>
    <cellStyle name="Nuovo 20 5" xfId="1209" xr:uid="{00000000-0005-0000-0000-0000E2170000}"/>
    <cellStyle name="Nuovo 21" xfId="1210" xr:uid="{00000000-0005-0000-0000-0000E3170000}"/>
    <cellStyle name="Nuovo 21 2" xfId="1211" xr:uid="{00000000-0005-0000-0000-0000E4170000}"/>
    <cellStyle name="Nuovo 21 2 2" xfId="2777" xr:uid="{00000000-0005-0000-0000-0000E5170000}"/>
    <cellStyle name="Nuovo 21 3" xfId="1212" xr:uid="{00000000-0005-0000-0000-0000E6170000}"/>
    <cellStyle name="Nuovo 21 3 2" xfId="1213" xr:uid="{00000000-0005-0000-0000-0000E7170000}"/>
    <cellStyle name="Nuovo 21 3 3" xfId="1214" xr:uid="{00000000-0005-0000-0000-0000E8170000}"/>
    <cellStyle name="Nuovo 21 3 3 2" xfId="2779" xr:uid="{00000000-0005-0000-0000-0000E9170000}"/>
    <cellStyle name="Nuovo 21 3 4" xfId="2778" xr:uid="{00000000-0005-0000-0000-0000EA170000}"/>
    <cellStyle name="Nuovo 21 4" xfId="1215" xr:uid="{00000000-0005-0000-0000-0000EB170000}"/>
    <cellStyle name="Nuovo 21 4 2" xfId="1216" xr:uid="{00000000-0005-0000-0000-0000EC170000}"/>
    <cellStyle name="Nuovo 21 4 2 2" xfId="2781" xr:uid="{00000000-0005-0000-0000-0000ED170000}"/>
    <cellStyle name="Nuovo 21 4 3" xfId="2780" xr:uid="{00000000-0005-0000-0000-0000EE170000}"/>
    <cellStyle name="Nuovo 21 5" xfId="1217" xr:uid="{00000000-0005-0000-0000-0000EF170000}"/>
    <cellStyle name="Nuovo 22" xfId="1218" xr:uid="{00000000-0005-0000-0000-0000F0170000}"/>
    <cellStyle name="Nuovo 22 2" xfId="1219" xr:uid="{00000000-0005-0000-0000-0000F1170000}"/>
    <cellStyle name="Nuovo 22 2 2" xfId="2782" xr:uid="{00000000-0005-0000-0000-0000F2170000}"/>
    <cellStyle name="Nuovo 22 3" xfId="1220" xr:uid="{00000000-0005-0000-0000-0000F3170000}"/>
    <cellStyle name="Nuovo 22 3 2" xfId="1221" xr:uid="{00000000-0005-0000-0000-0000F4170000}"/>
    <cellStyle name="Nuovo 22 3 3" xfId="1222" xr:uid="{00000000-0005-0000-0000-0000F5170000}"/>
    <cellStyle name="Nuovo 22 3 3 2" xfId="2784" xr:uid="{00000000-0005-0000-0000-0000F6170000}"/>
    <cellStyle name="Nuovo 22 3 4" xfId="2783" xr:uid="{00000000-0005-0000-0000-0000F7170000}"/>
    <cellStyle name="Nuovo 22 4" xfId="1223" xr:uid="{00000000-0005-0000-0000-0000F8170000}"/>
    <cellStyle name="Nuovo 22 4 2" xfId="1224" xr:uid="{00000000-0005-0000-0000-0000F9170000}"/>
    <cellStyle name="Nuovo 22 4 2 2" xfId="2786" xr:uid="{00000000-0005-0000-0000-0000FA170000}"/>
    <cellStyle name="Nuovo 22 4 3" xfId="2785" xr:uid="{00000000-0005-0000-0000-0000FB170000}"/>
    <cellStyle name="Nuovo 22 5" xfId="1225" xr:uid="{00000000-0005-0000-0000-0000FC170000}"/>
    <cellStyle name="Nuovo 23" xfId="1226" xr:uid="{00000000-0005-0000-0000-0000FD170000}"/>
    <cellStyle name="Nuovo 23 2" xfId="1227" xr:uid="{00000000-0005-0000-0000-0000FE170000}"/>
    <cellStyle name="Nuovo 23 2 2" xfId="2787" xr:uid="{00000000-0005-0000-0000-0000FF170000}"/>
    <cellStyle name="Nuovo 23 3" xfId="1228" xr:uid="{00000000-0005-0000-0000-000000180000}"/>
    <cellStyle name="Nuovo 23 3 2" xfId="1229" xr:uid="{00000000-0005-0000-0000-000001180000}"/>
    <cellStyle name="Nuovo 23 3 3" xfId="1230" xr:uid="{00000000-0005-0000-0000-000002180000}"/>
    <cellStyle name="Nuovo 23 3 3 2" xfId="2789" xr:uid="{00000000-0005-0000-0000-000003180000}"/>
    <cellStyle name="Nuovo 23 3 4" xfId="2788" xr:uid="{00000000-0005-0000-0000-000004180000}"/>
    <cellStyle name="Nuovo 23 4" xfId="1231" xr:uid="{00000000-0005-0000-0000-000005180000}"/>
    <cellStyle name="Nuovo 23 4 2" xfId="1232" xr:uid="{00000000-0005-0000-0000-000006180000}"/>
    <cellStyle name="Nuovo 23 4 2 2" xfId="2791" xr:uid="{00000000-0005-0000-0000-000007180000}"/>
    <cellStyle name="Nuovo 23 4 3" xfId="2790" xr:uid="{00000000-0005-0000-0000-000008180000}"/>
    <cellStyle name="Nuovo 23 5" xfId="1233" xr:uid="{00000000-0005-0000-0000-000009180000}"/>
    <cellStyle name="Nuovo 24" xfId="1234" xr:uid="{00000000-0005-0000-0000-00000A180000}"/>
    <cellStyle name="Nuovo 24 2" xfId="1235" xr:uid="{00000000-0005-0000-0000-00000B180000}"/>
    <cellStyle name="Nuovo 24 2 2" xfId="2792" xr:uid="{00000000-0005-0000-0000-00000C180000}"/>
    <cellStyle name="Nuovo 24 3" xfId="1236" xr:uid="{00000000-0005-0000-0000-00000D180000}"/>
    <cellStyle name="Nuovo 24 3 2" xfId="1237" xr:uid="{00000000-0005-0000-0000-00000E180000}"/>
    <cellStyle name="Nuovo 24 3 3" xfId="1238" xr:uid="{00000000-0005-0000-0000-00000F180000}"/>
    <cellStyle name="Nuovo 24 3 3 2" xfId="2794" xr:uid="{00000000-0005-0000-0000-000010180000}"/>
    <cellStyle name="Nuovo 24 3 4" xfId="2793" xr:uid="{00000000-0005-0000-0000-000011180000}"/>
    <cellStyle name="Nuovo 24 4" xfId="1239" xr:uid="{00000000-0005-0000-0000-000012180000}"/>
    <cellStyle name="Nuovo 24 4 2" xfId="1240" xr:uid="{00000000-0005-0000-0000-000013180000}"/>
    <cellStyle name="Nuovo 24 4 2 2" xfId="2796" xr:uid="{00000000-0005-0000-0000-000014180000}"/>
    <cellStyle name="Nuovo 24 4 3" xfId="2795" xr:uid="{00000000-0005-0000-0000-000015180000}"/>
    <cellStyle name="Nuovo 24 5" xfId="1241" xr:uid="{00000000-0005-0000-0000-000016180000}"/>
    <cellStyle name="Nuovo 25" xfId="1242" xr:uid="{00000000-0005-0000-0000-000017180000}"/>
    <cellStyle name="Nuovo 25 2" xfId="1243" xr:uid="{00000000-0005-0000-0000-000018180000}"/>
    <cellStyle name="Nuovo 25 2 2" xfId="2797" xr:uid="{00000000-0005-0000-0000-000019180000}"/>
    <cellStyle name="Nuovo 25 3" xfId="1244" xr:uid="{00000000-0005-0000-0000-00001A180000}"/>
    <cellStyle name="Nuovo 25 3 2" xfId="1245" xr:uid="{00000000-0005-0000-0000-00001B180000}"/>
    <cellStyle name="Nuovo 25 3 3" xfId="1246" xr:uid="{00000000-0005-0000-0000-00001C180000}"/>
    <cellStyle name="Nuovo 25 3 3 2" xfId="2799" xr:uid="{00000000-0005-0000-0000-00001D180000}"/>
    <cellStyle name="Nuovo 25 3 4" xfId="2798" xr:uid="{00000000-0005-0000-0000-00001E180000}"/>
    <cellStyle name="Nuovo 25 4" xfId="1247" xr:uid="{00000000-0005-0000-0000-00001F180000}"/>
    <cellStyle name="Nuovo 25 4 2" xfId="1248" xr:uid="{00000000-0005-0000-0000-000020180000}"/>
    <cellStyle name="Nuovo 25 4 2 2" xfId="2801" xr:uid="{00000000-0005-0000-0000-000021180000}"/>
    <cellStyle name="Nuovo 25 4 3" xfId="2800" xr:uid="{00000000-0005-0000-0000-000022180000}"/>
    <cellStyle name="Nuovo 25 5" xfId="1249" xr:uid="{00000000-0005-0000-0000-000023180000}"/>
    <cellStyle name="Nuovo 26" xfId="1250" xr:uid="{00000000-0005-0000-0000-000024180000}"/>
    <cellStyle name="Nuovo 26 2" xfId="1251" xr:uid="{00000000-0005-0000-0000-000025180000}"/>
    <cellStyle name="Nuovo 26 2 2" xfId="2802" xr:uid="{00000000-0005-0000-0000-000026180000}"/>
    <cellStyle name="Nuovo 26 3" xfId="1252" xr:uid="{00000000-0005-0000-0000-000027180000}"/>
    <cellStyle name="Nuovo 26 3 2" xfId="1253" xr:uid="{00000000-0005-0000-0000-000028180000}"/>
    <cellStyle name="Nuovo 26 3 3" xfId="1254" xr:uid="{00000000-0005-0000-0000-000029180000}"/>
    <cellStyle name="Nuovo 26 3 3 2" xfId="2804" xr:uid="{00000000-0005-0000-0000-00002A180000}"/>
    <cellStyle name="Nuovo 26 3 4" xfId="2803" xr:uid="{00000000-0005-0000-0000-00002B180000}"/>
    <cellStyle name="Nuovo 26 4" xfId="1255" xr:uid="{00000000-0005-0000-0000-00002C180000}"/>
    <cellStyle name="Nuovo 26 4 2" xfId="1256" xr:uid="{00000000-0005-0000-0000-00002D180000}"/>
    <cellStyle name="Nuovo 26 4 2 2" xfId="2806" xr:uid="{00000000-0005-0000-0000-00002E180000}"/>
    <cellStyle name="Nuovo 26 4 3" xfId="2805" xr:uid="{00000000-0005-0000-0000-00002F180000}"/>
    <cellStyle name="Nuovo 26 5" xfId="1257" xr:uid="{00000000-0005-0000-0000-000030180000}"/>
    <cellStyle name="Nuovo 27" xfId="1258" xr:uid="{00000000-0005-0000-0000-000031180000}"/>
    <cellStyle name="Nuovo 27 2" xfId="1259" xr:uid="{00000000-0005-0000-0000-000032180000}"/>
    <cellStyle name="Nuovo 27 2 2" xfId="2807" xr:uid="{00000000-0005-0000-0000-000033180000}"/>
    <cellStyle name="Nuovo 27 3" xfId="1260" xr:uid="{00000000-0005-0000-0000-000034180000}"/>
    <cellStyle name="Nuovo 27 3 2" xfId="1261" xr:uid="{00000000-0005-0000-0000-000035180000}"/>
    <cellStyle name="Nuovo 27 3 3" xfId="1262" xr:uid="{00000000-0005-0000-0000-000036180000}"/>
    <cellStyle name="Nuovo 27 3 3 2" xfId="2809" xr:uid="{00000000-0005-0000-0000-000037180000}"/>
    <cellStyle name="Nuovo 27 3 4" xfId="2808" xr:uid="{00000000-0005-0000-0000-000038180000}"/>
    <cellStyle name="Nuovo 27 4" xfId="1263" xr:uid="{00000000-0005-0000-0000-000039180000}"/>
    <cellStyle name="Nuovo 27 4 2" xfId="1264" xr:uid="{00000000-0005-0000-0000-00003A180000}"/>
    <cellStyle name="Nuovo 27 4 2 2" xfId="2811" xr:uid="{00000000-0005-0000-0000-00003B180000}"/>
    <cellStyle name="Nuovo 27 4 3" xfId="2810" xr:uid="{00000000-0005-0000-0000-00003C180000}"/>
    <cellStyle name="Nuovo 27 5" xfId="1265" xr:uid="{00000000-0005-0000-0000-00003D180000}"/>
    <cellStyle name="Nuovo 28" xfId="1266" xr:uid="{00000000-0005-0000-0000-00003E180000}"/>
    <cellStyle name="Nuovo 28 2" xfId="1267" xr:uid="{00000000-0005-0000-0000-00003F180000}"/>
    <cellStyle name="Nuovo 28 2 2" xfId="2812" xr:uid="{00000000-0005-0000-0000-000040180000}"/>
    <cellStyle name="Nuovo 28 3" xfId="1268" xr:uid="{00000000-0005-0000-0000-000041180000}"/>
    <cellStyle name="Nuovo 28 3 2" xfId="1269" xr:uid="{00000000-0005-0000-0000-000042180000}"/>
    <cellStyle name="Nuovo 28 3 3" xfId="1270" xr:uid="{00000000-0005-0000-0000-000043180000}"/>
    <cellStyle name="Nuovo 28 3 3 2" xfId="2814" xr:uid="{00000000-0005-0000-0000-000044180000}"/>
    <cellStyle name="Nuovo 28 3 4" xfId="2813" xr:uid="{00000000-0005-0000-0000-000045180000}"/>
    <cellStyle name="Nuovo 28 4" xfId="1271" xr:uid="{00000000-0005-0000-0000-000046180000}"/>
    <cellStyle name="Nuovo 28 4 2" xfId="1272" xr:uid="{00000000-0005-0000-0000-000047180000}"/>
    <cellStyle name="Nuovo 28 4 2 2" xfId="2816" xr:uid="{00000000-0005-0000-0000-000048180000}"/>
    <cellStyle name="Nuovo 28 4 3" xfId="2815" xr:uid="{00000000-0005-0000-0000-000049180000}"/>
    <cellStyle name="Nuovo 28 5" xfId="1273" xr:uid="{00000000-0005-0000-0000-00004A180000}"/>
    <cellStyle name="Nuovo 29" xfId="1274" xr:uid="{00000000-0005-0000-0000-00004B180000}"/>
    <cellStyle name="Nuovo 29 2" xfId="1275" xr:uid="{00000000-0005-0000-0000-00004C180000}"/>
    <cellStyle name="Nuovo 29 2 2" xfId="2817" xr:uid="{00000000-0005-0000-0000-00004D180000}"/>
    <cellStyle name="Nuovo 29 3" xfId="1276" xr:uid="{00000000-0005-0000-0000-00004E180000}"/>
    <cellStyle name="Nuovo 29 3 2" xfId="1277" xr:uid="{00000000-0005-0000-0000-00004F180000}"/>
    <cellStyle name="Nuovo 29 3 3" xfId="1278" xr:uid="{00000000-0005-0000-0000-000050180000}"/>
    <cellStyle name="Nuovo 29 3 3 2" xfId="2819" xr:uid="{00000000-0005-0000-0000-000051180000}"/>
    <cellStyle name="Nuovo 29 3 4" xfId="2818" xr:uid="{00000000-0005-0000-0000-000052180000}"/>
    <cellStyle name="Nuovo 29 4" xfId="1279" xr:uid="{00000000-0005-0000-0000-000053180000}"/>
    <cellStyle name="Nuovo 29 4 2" xfId="1280" xr:uid="{00000000-0005-0000-0000-000054180000}"/>
    <cellStyle name="Nuovo 29 4 2 2" xfId="2821" xr:uid="{00000000-0005-0000-0000-000055180000}"/>
    <cellStyle name="Nuovo 29 4 3" xfId="2820" xr:uid="{00000000-0005-0000-0000-000056180000}"/>
    <cellStyle name="Nuovo 29 5" xfId="1281" xr:uid="{00000000-0005-0000-0000-000057180000}"/>
    <cellStyle name="Nuovo 3" xfId="1282" xr:uid="{00000000-0005-0000-0000-000058180000}"/>
    <cellStyle name="Nuovo 3 2" xfId="1283" xr:uid="{00000000-0005-0000-0000-000059180000}"/>
    <cellStyle name="Nuovo 3 2 2" xfId="2822" xr:uid="{00000000-0005-0000-0000-00005A180000}"/>
    <cellStyle name="Nuovo 3 3" xfId="1284" xr:uid="{00000000-0005-0000-0000-00005B180000}"/>
    <cellStyle name="Nuovo 3 3 2" xfId="1285" xr:uid="{00000000-0005-0000-0000-00005C180000}"/>
    <cellStyle name="Nuovo 3 3 3" xfId="1286" xr:uid="{00000000-0005-0000-0000-00005D180000}"/>
    <cellStyle name="Nuovo 3 3 3 2" xfId="2824" xr:uid="{00000000-0005-0000-0000-00005E180000}"/>
    <cellStyle name="Nuovo 3 3 4" xfId="2823" xr:uid="{00000000-0005-0000-0000-00005F180000}"/>
    <cellStyle name="Nuovo 3 4" xfId="1287" xr:uid="{00000000-0005-0000-0000-000060180000}"/>
    <cellStyle name="Nuovo 3 4 2" xfId="1288" xr:uid="{00000000-0005-0000-0000-000061180000}"/>
    <cellStyle name="Nuovo 3 4 2 2" xfId="2826" xr:uid="{00000000-0005-0000-0000-000062180000}"/>
    <cellStyle name="Nuovo 3 4 3" xfId="2825" xr:uid="{00000000-0005-0000-0000-000063180000}"/>
    <cellStyle name="Nuovo 3 5" xfId="1289" xr:uid="{00000000-0005-0000-0000-000064180000}"/>
    <cellStyle name="Nuovo 30" xfId="1290" xr:uid="{00000000-0005-0000-0000-000065180000}"/>
    <cellStyle name="Nuovo 30 2" xfId="1291" xr:uid="{00000000-0005-0000-0000-000066180000}"/>
    <cellStyle name="Nuovo 30 2 2" xfId="2827" xr:uid="{00000000-0005-0000-0000-000067180000}"/>
    <cellStyle name="Nuovo 30 3" xfId="1292" xr:uid="{00000000-0005-0000-0000-000068180000}"/>
    <cellStyle name="Nuovo 30 3 2" xfId="1293" xr:uid="{00000000-0005-0000-0000-000069180000}"/>
    <cellStyle name="Nuovo 30 3 3" xfId="1294" xr:uid="{00000000-0005-0000-0000-00006A180000}"/>
    <cellStyle name="Nuovo 30 3 3 2" xfId="2829" xr:uid="{00000000-0005-0000-0000-00006B180000}"/>
    <cellStyle name="Nuovo 30 3 4" xfId="2828" xr:uid="{00000000-0005-0000-0000-00006C180000}"/>
    <cellStyle name="Nuovo 30 4" xfId="1295" xr:uid="{00000000-0005-0000-0000-00006D180000}"/>
    <cellStyle name="Nuovo 30 4 2" xfId="1296" xr:uid="{00000000-0005-0000-0000-00006E180000}"/>
    <cellStyle name="Nuovo 30 4 2 2" xfId="2831" xr:uid="{00000000-0005-0000-0000-00006F180000}"/>
    <cellStyle name="Nuovo 30 4 3" xfId="2830" xr:uid="{00000000-0005-0000-0000-000070180000}"/>
    <cellStyle name="Nuovo 30 5" xfId="1297" xr:uid="{00000000-0005-0000-0000-000071180000}"/>
    <cellStyle name="Nuovo 31" xfId="1298" xr:uid="{00000000-0005-0000-0000-000072180000}"/>
    <cellStyle name="Nuovo 31 2" xfId="1299" xr:uid="{00000000-0005-0000-0000-000073180000}"/>
    <cellStyle name="Nuovo 31 2 2" xfId="2832" xr:uid="{00000000-0005-0000-0000-000074180000}"/>
    <cellStyle name="Nuovo 31 3" xfId="1300" xr:uid="{00000000-0005-0000-0000-000075180000}"/>
    <cellStyle name="Nuovo 31 3 2" xfId="1301" xr:uid="{00000000-0005-0000-0000-000076180000}"/>
    <cellStyle name="Nuovo 31 3 3" xfId="1302" xr:uid="{00000000-0005-0000-0000-000077180000}"/>
    <cellStyle name="Nuovo 31 3 3 2" xfId="2834" xr:uid="{00000000-0005-0000-0000-000078180000}"/>
    <cellStyle name="Nuovo 31 3 4" xfId="2833" xr:uid="{00000000-0005-0000-0000-000079180000}"/>
    <cellStyle name="Nuovo 31 4" xfId="1303" xr:uid="{00000000-0005-0000-0000-00007A180000}"/>
    <cellStyle name="Nuovo 31 4 2" xfId="1304" xr:uid="{00000000-0005-0000-0000-00007B180000}"/>
    <cellStyle name="Nuovo 31 4 2 2" xfId="2836" xr:uid="{00000000-0005-0000-0000-00007C180000}"/>
    <cellStyle name="Nuovo 31 4 3" xfId="2835" xr:uid="{00000000-0005-0000-0000-00007D180000}"/>
    <cellStyle name="Nuovo 31 5" xfId="1305" xr:uid="{00000000-0005-0000-0000-00007E180000}"/>
    <cellStyle name="Nuovo 32" xfId="1306" xr:uid="{00000000-0005-0000-0000-00007F180000}"/>
    <cellStyle name="Nuovo 32 2" xfId="1307" xr:uid="{00000000-0005-0000-0000-000080180000}"/>
    <cellStyle name="Nuovo 32 2 2" xfId="2837" xr:uid="{00000000-0005-0000-0000-000081180000}"/>
    <cellStyle name="Nuovo 32 3" xfId="1308" xr:uid="{00000000-0005-0000-0000-000082180000}"/>
    <cellStyle name="Nuovo 32 3 2" xfId="1309" xr:uid="{00000000-0005-0000-0000-000083180000}"/>
    <cellStyle name="Nuovo 32 3 3" xfId="1310" xr:uid="{00000000-0005-0000-0000-000084180000}"/>
    <cellStyle name="Nuovo 32 3 3 2" xfId="2839" xr:uid="{00000000-0005-0000-0000-000085180000}"/>
    <cellStyle name="Nuovo 32 3 4" xfId="2838" xr:uid="{00000000-0005-0000-0000-000086180000}"/>
    <cellStyle name="Nuovo 32 4" xfId="1311" xr:uid="{00000000-0005-0000-0000-000087180000}"/>
    <cellStyle name="Nuovo 32 4 2" xfId="1312" xr:uid="{00000000-0005-0000-0000-000088180000}"/>
    <cellStyle name="Nuovo 32 4 2 2" xfId="2841" xr:uid="{00000000-0005-0000-0000-000089180000}"/>
    <cellStyle name="Nuovo 32 4 3" xfId="2840" xr:uid="{00000000-0005-0000-0000-00008A180000}"/>
    <cellStyle name="Nuovo 32 5" xfId="1313" xr:uid="{00000000-0005-0000-0000-00008B180000}"/>
    <cellStyle name="Nuovo 33" xfId="1314" xr:uid="{00000000-0005-0000-0000-00008C180000}"/>
    <cellStyle name="Nuovo 33 2" xfId="1315" xr:uid="{00000000-0005-0000-0000-00008D180000}"/>
    <cellStyle name="Nuovo 33 2 2" xfId="2842" xr:uid="{00000000-0005-0000-0000-00008E180000}"/>
    <cellStyle name="Nuovo 33 3" xfId="1316" xr:uid="{00000000-0005-0000-0000-00008F180000}"/>
    <cellStyle name="Nuovo 33 3 2" xfId="1317" xr:uid="{00000000-0005-0000-0000-000090180000}"/>
    <cellStyle name="Nuovo 33 3 3" xfId="1318" xr:uid="{00000000-0005-0000-0000-000091180000}"/>
    <cellStyle name="Nuovo 33 3 3 2" xfId="2844" xr:uid="{00000000-0005-0000-0000-000092180000}"/>
    <cellStyle name="Nuovo 33 3 4" xfId="2843" xr:uid="{00000000-0005-0000-0000-000093180000}"/>
    <cellStyle name="Nuovo 33 4" xfId="1319" xr:uid="{00000000-0005-0000-0000-000094180000}"/>
    <cellStyle name="Nuovo 33 4 2" xfId="1320" xr:uid="{00000000-0005-0000-0000-000095180000}"/>
    <cellStyle name="Nuovo 33 4 2 2" xfId="2846" xr:uid="{00000000-0005-0000-0000-000096180000}"/>
    <cellStyle name="Nuovo 33 4 3" xfId="2845" xr:uid="{00000000-0005-0000-0000-000097180000}"/>
    <cellStyle name="Nuovo 33 5" xfId="1321" xr:uid="{00000000-0005-0000-0000-000098180000}"/>
    <cellStyle name="Nuovo 34" xfId="1322" xr:uid="{00000000-0005-0000-0000-000099180000}"/>
    <cellStyle name="Nuovo 34 2" xfId="1323" xr:uid="{00000000-0005-0000-0000-00009A180000}"/>
    <cellStyle name="Nuovo 34 2 2" xfId="2847" xr:uid="{00000000-0005-0000-0000-00009B180000}"/>
    <cellStyle name="Nuovo 34 3" xfId="1324" xr:uid="{00000000-0005-0000-0000-00009C180000}"/>
    <cellStyle name="Nuovo 34 3 2" xfId="1325" xr:uid="{00000000-0005-0000-0000-00009D180000}"/>
    <cellStyle name="Nuovo 34 3 3" xfId="1326" xr:uid="{00000000-0005-0000-0000-00009E180000}"/>
    <cellStyle name="Nuovo 34 3 3 2" xfId="2849" xr:uid="{00000000-0005-0000-0000-00009F180000}"/>
    <cellStyle name="Nuovo 34 3 4" xfId="2848" xr:uid="{00000000-0005-0000-0000-0000A0180000}"/>
    <cellStyle name="Nuovo 34 4" xfId="1327" xr:uid="{00000000-0005-0000-0000-0000A1180000}"/>
    <cellStyle name="Nuovo 34 4 2" xfId="1328" xr:uid="{00000000-0005-0000-0000-0000A2180000}"/>
    <cellStyle name="Nuovo 34 4 2 2" xfId="2851" xr:uid="{00000000-0005-0000-0000-0000A3180000}"/>
    <cellStyle name="Nuovo 34 4 3" xfId="2850" xr:uid="{00000000-0005-0000-0000-0000A4180000}"/>
    <cellStyle name="Nuovo 34 5" xfId="1329" xr:uid="{00000000-0005-0000-0000-0000A5180000}"/>
    <cellStyle name="Nuovo 35" xfId="1330" xr:uid="{00000000-0005-0000-0000-0000A6180000}"/>
    <cellStyle name="Nuovo 35 2" xfId="1331" xr:uid="{00000000-0005-0000-0000-0000A7180000}"/>
    <cellStyle name="Nuovo 35 2 2" xfId="2852" xr:uid="{00000000-0005-0000-0000-0000A8180000}"/>
    <cellStyle name="Nuovo 35 3" xfId="1332" xr:uid="{00000000-0005-0000-0000-0000A9180000}"/>
    <cellStyle name="Nuovo 35 3 2" xfId="1333" xr:uid="{00000000-0005-0000-0000-0000AA180000}"/>
    <cellStyle name="Nuovo 35 3 3" xfId="1334" xr:uid="{00000000-0005-0000-0000-0000AB180000}"/>
    <cellStyle name="Nuovo 35 3 3 2" xfId="2854" xr:uid="{00000000-0005-0000-0000-0000AC180000}"/>
    <cellStyle name="Nuovo 35 3 4" xfId="2853" xr:uid="{00000000-0005-0000-0000-0000AD180000}"/>
    <cellStyle name="Nuovo 35 4" xfId="1335" xr:uid="{00000000-0005-0000-0000-0000AE180000}"/>
    <cellStyle name="Nuovo 35 4 2" xfId="1336" xr:uid="{00000000-0005-0000-0000-0000AF180000}"/>
    <cellStyle name="Nuovo 35 4 2 2" xfId="2856" xr:uid="{00000000-0005-0000-0000-0000B0180000}"/>
    <cellStyle name="Nuovo 35 4 3" xfId="2855" xr:uid="{00000000-0005-0000-0000-0000B1180000}"/>
    <cellStyle name="Nuovo 35 5" xfId="1337" xr:uid="{00000000-0005-0000-0000-0000B2180000}"/>
    <cellStyle name="Nuovo 36" xfId="1338" xr:uid="{00000000-0005-0000-0000-0000B3180000}"/>
    <cellStyle name="Nuovo 36 2" xfId="1339" xr:uid="{00000000-0005-0000-0000-0000B4180000}"/>
    <cellStyle name="Nuovo 36 2 2" xfId="2857" xr:uid="{00000000-0005-0000-0000-0000B5180000}"/>
    <cellStyle name="Nuovo 36 3" xfId="1340" xr:uid="{00000000-0005-0000-0000-0000B6180000}"/>
    <cellStyle name="Nuovo 36 3 2" xfId="1341" xr:uid="{00000000-0005-0000-0000-0000B7180000}"/>
    <cellStyle name="Nuovo 36 3 3" xfId="1342" xr:uid="{00000000-0005-0000-0000-0000B8180000}"/>
    <cellStyle name="Nuovo 36 3 3 2" xfId="2859" xr:uid="{00000000-0005-0000-0000-0000B9180000}"/>
    <cellStyle name="Nuovo 36 3 4" xfId="2858" xr:uid="{00000000-0005-0000-0000-0000BA180000}"/>
    <cellStyle name="Nuovo 36 4" xfId="1343" xr:uid="{00000000-0005-0000-0000-0000BB180000}"/>
    <cellStyle name="Nuovo 36 4 2" xfId="1344" xr:uid="{00000000-0005-0000-0000-0000BC180000}"/>
    <cellStyle name="Nuovo 36 4 2 2" xfId="2861" xr:uid="{00000000-0005-0000-0000-0000BD180000}"/>
    <cellStyle name="Nuovo 36 4 3" xfId="2860" xr:uid="{00000000-0005-0000-0000-0000BE180000}"/>
    <cellStyle name="Nuovo 36 5" xfId="1345" xr:uid="{00000000-0005-0000-0000-0000BF180000}"/>
    <cellStyle name="Nuovo 37" xfId="1346" xr:uid="{00000000-0005-0000-0000-0000C0180000}"/>
    <cellStyle name="Nuovo 37 2" xfId="1347" xr:uid="{00000000-0005-0000-0000-0000C1180000}"/>
    <cellStyle name="Nuovo 37 2 2" xfId="2862" xr:uid="{00000000-0005-0000-0000-0000C2180000}"/>
    <cellStyle name="Nuovo 37 3" xfId="1348" xr:uid="{00000000-0005-0000-0000-0000C3180000}"/>
    <cellStyle name="Nuovo 37 3 2" xfId="1349" xr:uid="{00000000-0005-0000-0000-0000C4180000}"/>
    <cellStyle name="Nuovo 37 3 3" xfId="1350" xr:uid="{00000000-0005-0000-0000-0000C5180000}"/>
    <cellStyle name="Nuovo 37 3 3 2" xfId="2864" xr:uid="{00000000-0005-0000-0000-0000C6180000}"/>
    <cellStyle name="Nuovo 37 3 4" xfId="2863" xr:uid="{00000000-0005-0000-0000-0000C7180000}"/>
    <cellStyle name="Nuovo 37 4" xfId="1351" xr:uid="{00000000-0005-0000-0000-0000C8180000}"/>
    <cellStyle name="Nuovo 37 4 2" xfId="1352" xr:uid="{00000000-0005-0000-0000-0000C9180000}"/>
    <cellStyle name="Nuovo 37 4 2 2" xfId="2866" xr:uid="{00000000-0005-0000-0000-0000CA180000}"/>
    <cellStyle name="Nuovo 37 4 3" xfId="2865" xr:uid="{00000000-0005-0000-0000-0000CB180000}"/>
    <cellStyle name="Nuovo 37 5" xfId="1353" xr:uid="{00000000-0005-0000-0000-0000CC180000}"/>
    <cellStyle name="Nuovo 38" xfId="1354" xr:uid="{00000000-0005-0000-0000-0000CD180000}"/>
    <cellStyle name="Nuovo 38 2" xfId="1355" xr:uid="{00000000-0005-0000-0000-0000CE180000}"/>
    <cellStyle name="Nuovo 38 2 2" xfId="2867" xr:uid="{00000000-0005-0000-0000-0000CF180000}"/>
    <cellStyle name="Nuovo 38 3" xfId="1356" xr:uid="{00000000-0005-0000-0000-0000D0180000}"/>
    <cellStyle name="Nuovo 38 3 2" xfId="1357" xr:uid="{00000000-0005-0000-0000-0000D1180000}"/>
    <cellStyle name="Nuovo 38 3 3" xfId="1358" xr:uid="{00000000-0005-0000-0000-0000D2180000}"/>
    <cellStyle name="Nuovo 38 3 3 2" xfId="2869" xr:uid="{00000000-0005-0000-0000-0000D3180000}"/>
    <cellStyle name="Nuovo 38 3 4" xfId="2868" xr:uid="{00000000-0005-0000-0000-0000D4180000}"/>
    <cellStyle name="Nuovo 38 4" xfId="1359" xr:uid="{00000000-0005-0000-0000-0000D5180000}"/>
    <cellStyle name="Nuovo 38 4 2" xfId="1360" xr:uid="{00000000-0005-0000-0000-0000D6180000}"/>
    <cellStyle name="Nuovo 38 4 2 2" xfId="2871" xr:uid="{00000000-0005-0000-0000-0000D7180000}"/>
    <cellStyle name="Nuovo 38 4 3" xfId="2870" xr:uid="{00000000-0005-0000-0000-0000D8180000}"/>
    <cellStyle name="Nuovo 38 5" xfId="1361" xr:uid="{00000000-0005-0000-0000-0000D9180000}"/>
    <cellStyle name="Nuovo 39" xfId="1362" xr:uid="{00000000-0005-0000-0000-0000DA180000}"/>
    <cellStyle name="Nuovo 39 2" xfId="1363" xr:uid="{00000000-0005-0000-0000-0000DB180000}"/>
    <cellStyle name="Nuovo 39 2 2" xfId="2872" xr:uid="{00000000-0005-0000-0000-0000DC180000}"/>
    <cellStyle name="Nuovo 39 3" xfId="1364" xr:uid="{00000000-0005-0000-0000-0000DD180000}"/>
    <cellStyle name="Nuovo 39 3 2" xfId="1365" xr:uid="{00000000-0005-0000-0000-0000DE180000}"/>
    <cellStyle name="Nuovo 39 3 3" xfId="1366" xr:uid="{00000000-0005-0000-0000-0000DF180000}"/>
    <cellStyle name="Nuovo 39 3 3 2" xfId="2874" xr:uid="{00000000-0005-0000-0000-0000E0180000}"/>
    <cellStyle name="Nuovo 39 3 4" xfId="2873" xr:uid="{00000000-0005-0000-0000-0000E1180000}"/>
    <cellStyle name="Nuovo 39 4" xfId="1367" xr:uid="{00000000-0005-0000-0000-0000E2180000}"/>
    <cellStyle name="Nuovo 39 4 2" xfId="1368" xr:uid="{00000000-0005-0000-0000-0000E3180000}"/>
    <cellStyle name="Nuovo 39 4 2 2" xfId="2876" xr:uid="{00000000-0005-0000-0000-0000E4180000}"/>
    <cellStyle name="Nuovo 39 4 3" xfId="2875" xr:uid="{00000000-0005-0000-0000-0000E5180000}"/>
    <cellStyle name="Nuovo 39 5" xfId="1369" xr:uid="{00000000-0005-0000-0000-0000E6180000}"/>
    <cellStyle name="Nuovo 4" xfId="1370" xr:uid="{00000000-0005-0000-0000-0000E7180000}"/>
    <cellStyle name="Nuovo 4 2" xfId="1371" xr:uid="{00000000-0005-0000-0000-0000E8180000}"/>
    <cellStyle name="Nuovo 4 2 2" xfId="2877" xr:uid="{00000000-0005-0000-0000-0000E9180000}"/>
    <cellStyle name="Nuovo 4 3" xfId="1372" xr:uid="{00000000-0005-0000-0000-0000EA180000}"/>
    <cellStyle name="Nuovo 4 3 2" xfId="1373" xr:uid="{00000000-0005-0000-0000-0000EB180000}"/>
    <cellStyle name="Nuovo 4 3 3" xfId="1374" xr:uid="{00000000-0005-0000-0000-0000EC180000}"/>
    <cellStyle name="Nuovo 4 3 3 2" xfId="2879" xr:uid="{00000000-0005-0000-0000-0000ED180000}"/>
    <cellStyle name="Nuovo 4 3 4" xfId="2878" xr:uid="{00000000-0005-0000-0000-0000EE180000}"/>
    <cellStyle name="Nuovo 4 4" xfId="1375" xr:uid="{00000000-0005-0000-0000-0000EF180000}"/>
    <cellStyle name="Nuovo 4 4 2" xfId="1376" xr:uid="{00000000-0005-0000-0000-0000F0180000}"/>
    <cellStyle name="Nuovo 4 4 2 2" xfId="2881" xr:uid="{00000000-0005-0000-0000-0000F1180000}"/>
    <cellStyle name="Nuovo 4 4 3" xfId="2880" xr:uid="{00000000-0005-0000-0000-0000F2180000}"/>
    <cellStyle name="Nuovo 4 5" xfId="1377" xr:uid="{00000000-0005-0000-0000-0000F3180000}"/>
    <cellStyle name="Nuovo 40" xfId="1378" xr:uid="{00000000-0005-0000-0000-0000F4180000}"/>
    <cellStyle name="Nuovo 40 2" xfId="1379" xr:uid="{00000000-0005-0000-0000-0000F5180000}"/>
    <cellStyle name="Nuovo 40 2 2" xfId="2882" xr:uid="{00000000-0005-0000-0000-0000F6180000}"/>
    <cellStyle name="Nuovo 40 3" xfId="1380" xr:uid="{00000000-0005-0000-0000-0000F7180000}"/>
    <cellStyle name="Nuovo 40 3 2" xfId="1381" xr:uid="{00000000-0005-0000-0000-0000F8180000}"/>
    <cellStyle name="Nuovo 40 3 3" xfId="1382" xr:uid="{00000000-0005-0000-0000-0000F9180000}"/>
    <cellStyle name="Nuovo 40 3 3 2" xfId="2884" xr:uid="{00000000-0005-0000-0000-0000FA180000}"/>
    <cellStyle name="Nuovo 40 3 4" xfId="2883" xr:uid="{00000000-0005-0000-0000-0000FB180000}"/>
    <cellStyle name="Nuovo 40 4" xfId="1383" xr:uid="{00000000-0005-0000-0000-0000FC180000}"/>
    <cellStyle name="Nuovo 40 4 2" xfId="1384" xr:uid="{00000000-0005-0000-0000-0000FD180000}"/>
    <cellStyle name="Nuovo 40 4 2 2" xfId="2886" xr:uid="{00000000-0005-0000-0000-0000FE180000}"/>
    <cellStyle name="Nuovo 40 4 3" xfId="2885" xr:uid="{00000000-0005-0000-0000-0000FF180000}"/>
    <cellStyle name="Nuovo 40 5" xfId="1385" xr:uid="{00000000-0005-0000-0000-000000190000}"/>
    <cellStyle name="Nuovo 41" xfId="1386" xr:uid="{00000000-0005-0000-0000-000001190000}"/>
    <cellStyle name="Nuovo 41 2" xfId="1387" xr:uid="{00000000-0005-0000-0000-000002190000}"/>
    <cellStyle name="Nuovo 41 2 2" xfId="2887" xr:uid="{00000000-0005-0000-0000-000003190000}"/>
    <cellStyle name="Nuovo 41 3" xfId="1388" xr:uid="{00000000-0005-0000-0000-000004190000}"/>
    <cellStyle name="Nuovo 41 3 2" xfId="1389" xr:uid="{00000000-0005-0000-0000-000005190000}"/>
    <cellStyle name="Nuovo 41 3 3" xfId="1390" xr:uid="{00000000-0005-0000-0000-000006190000}"/>
    <cellStyle name="Nuovo 41 3 3 2" xfId="2889" xr:uid="{00000000-0005-0000-0000-000007190000}"/>
    <cellStyle name="Nuovo 41 3 4" xfId="2888" xr:uid="{00000000-0005-0000-0000-000008190000}"/>
    <cellStyle name="Nuovo 41 4" xfId="1391" xr:uid="{00000000-0005-0000-0000-000009190000}"/>
    <cellStyle name="Nuovo 41 4 2" xfId="1392" xr:uid="{00000000-0005-0000-0000-00000A190000}"/>
    <cellStyle name="Nuovo 41 4 2 2" xfId="2891" xr:uid="{00000000-0005-0000-0000-00000B190000}"/>
    <cellStyle name="Nuovo 41 4 3" xfId="2890" xr:uid="{00000000-0005-0000-0000-00000C190000}"/>
    <cellStyle name="Nuovo 41 5" xfId="1393" xr:uid="{00000000-0005-0000-0000-00000D190000}"/>
    <cellStyle name="Nuovo 42" xfId="1394" xr:uid="{00000000-0005-0000-0000-00000E190000}"/>
    <cellStyle name="Nuovo 42 2" xfId="1395" xr:uid="{00000000-0005-0000-0000-00000F190000}"/>
    <cellStyle name="Nuovo 42 2 2" xfId="2892" xr:uid="{00000000-0005-0000-0000-000010190000}"/>
    <cellStyle name="Nuovo 42 3" xfId="1396" xr:uid="{00000000-0005-0000-0000-000011190000}"/>
    <cellStyle name="Nuovo 42 3 2" xfId="1397" xr:uid="{00000000-0005-0000-0000-000012190000}"/>
    <cellStyle name="Nuovo 42 3 3" xfId="1398" xr:uid="{00000000-0005-0000-0000-000013190000}"/>
    <cellStyle name="Nuovo 42 3 3 2" xfId="2894" xr:uid="{00000000-0005-0000-0000-000014190000}"/>
    <cellStyle name="Nuovo 42 3 4" xfId="2893" xr:uid="{00000000-0005-0000-0000-000015190000}"/>
    <cellStyle name="Nuovo 42 4" xfId="1399" xr:uid="{00000000-0005-0000-0000-000016190000}"/>
    <cellStyle name="Nuovo 42 4 2" xfId="1400" xr:uid="{00000000-0005-0000-0000-000017190000}"/>
    <cellStyle name="Nuovo 42 4 2 2" xfId="2896" xr:uid="{00000000-0005-0000-0000-000018190000}"/>
    <cellStyle name="Nuovo 42 4 3" xfId="2895" xr:uid="{00000000-0005-0000-0000-000019190000}"/>
    <cellStyle name="Nuovo 42 5" xfId="1401" xr:uid="{00000000-0005-0000-0000-00001A190000}"/>
    <cellStyle name="Nuovo 43" xfId="1402" xr:uid="{00000000-0005-0000-0000-00001B190000}"/>
    <cellStyle name="Nuovo 43 2" xfId="1403" xr:uid="{00000000-0005-0000-0000-00001C190000}"/>
    <cellStyle name="Nuovo 43 2 2" xfId="2897" xr:uid="{00000000-0005-0000-0000-00001D190000}"/>
    <cellStyle name="Nuovo 43 3" xfId="1404" xr:uid="{00000000-0005-0000-0000-00001E190000}"/>
    <cellStyle name="Nuovo 43 3 2" xfId="1405" xr:uid="{00000000-0005-0000-0000-00001F190000}"/>
    <cellStyle name="Nuovo 43 3 3" xfId="1406" xr:uid="{00000000-0005-0000-0000-000020190000}"/>
    <cellStyle name="Nuovo 43 3 3 2" xfId="2899" xr:uid="{00000000-0005-0000-0000-000021190000}"/>
    <cellStyle name="Nuovo 43 3 4" xfId="2898" xr:uid="{00000000-0005-0000-0000-000022190000}"/>
    <cellStyle name="Nuovo 43 4" xfId="1407" xr:uid="{00000000-0005-0000-0000-000023190000}"/>
    <cellStyle name="Nuovo 43 4 2" xfId="1408" xr:uid="{00000000-0005-0000-0000-000024190000}"/>
    <cellStyle name="Nuovo 43 4 2 2" xfId="2901" xr:uid="{00000000-0005-0000-0000-000025190000}"/>
    <cellStyle name="Nuovo 43 4 3" xfId="2900" xr:uid="{00000000-0005-0000-0000-000026190000}"/>
    <cellStyle name="Nuovo 43 5" xfId="1409" xr:uid="{00000000-0005-0000-0000-000027190000}"/>
    <cellStyle name="Nuovo 44" xfId="1410" xr:uid="{00000000-0005-0000-0000-000028190000}"/>
    <cellStyle name="Nuovo 44 2" xfId="1411" xr:uid="{00000000-0005-0000-0000-000029190000}"/>
    <cellStyle name="Nuovo 44 2 2" xfId="2902" xr:uid="{00000000-0005-0000-0000-00002A190000}"/>
    <cellStyle name="Nuovo 44 3" xfId="1412" xr:uid="{00000000-0005-0000-0000-00002B190000}"/>
    <cellStyle name="Nuovo 44 3 2" xfId="1413" xr:uid="{00000000-0005-0000-0000-00002C190000}"/>
    <cellStyle name="Nuovo 44 3 3" xfId="1414" xr:uid="{00000000-0005-0000-0000-00002D190000}"/>
    <cellStyle name="Nuovo 44 3 3 2" xfId="2904" xr:uid="{00000000-0005-0000-0000-00002E190000}"/>
    <cellStyle name="Nuovo 44 3 4" xfId="2903" xr:uid="{00000000-0005-0000-0000-00002F190000}"/>
    <cellStyle name="Nuovo 44 4" xfId="1415" xr:uid="{00000000-0005-0000-0000-000030190000}"/>
    <cellStyle name="Nuovo 44 4 2" xfId="1416" xr:uid="{00000000-0005-0000-0000-000031190000}"/>
    <cellStyle name="Nuovo 44 4 2 2" xfId="2906" xr:uid="{00000000-0005-0000-0000-000032190000}"/>
    <cellStyle name="Nuovo 44 4 3" xfId="2905" xr:uid="{00000000-0005-0000-0000-000033190000}"/>
    <cellStyle name="Nuovo 44 5" xfId="1417" xr:uid="{00000000-0005-0000-0000-000034190000}"/>
    <cellStyle name="Nuovo 45" xfId="1418" xr:uid="{00000000-0005-0000-0000-000035190000}"/>
    <cellStyle name="Nuovo 45 2" xfId="2907" xr:uid="{00000000-0005-0000-0000-000036190000}"/>
    <cellStyle name="Nuovo 46" xfId="1419" xr:uid="{00000000-0005-0000-0000-000037190000}"/>
    <cellStyle name="Nuovo 46 2" xfId="1420" xr:uid="{00000000-0005-0000-0000-000038190000}"/>
    <cellStyle name="Nuovo 46 3" xfId="1421" xr:uid="{00000000-0005-0000-0000-000039190000}"/>
    <cellStyle name="Nuovo 46 3 2" xfId="2909" xr:uid="{00000000-0005-0000-0000-00003A190000}"/>
    <cellStyle name="Nuovo 46 4" xfId="2908" xr:uid="{00000000-0005-0000-0000-00003B190000}"/>
    <cellStyle name="Nuovo 47" xfId="1422" xr:uid="{00000000-0005-0000-0000-00003C190000}"/>
    <cellStyle name="Nuovo 47 2" xfId="1423" xr:uid="{00000000-0005-0000-0000-00003D190000}"/>
    <cellStyle name="Nuovo 47 2 2" xfId="2911" xr:uid="{00000000-0005-0000-0000-00003E190000}"/>
    <cellStyle name="Nuovo 47 3" xfId="2910" xr:uid="{00000000-0005-0000-0000-00003F190000}"/>
    <cellStyle name="Nuovo 48" xfId="1424" xr:uid="{00000000-0005-0000-0000-000040190000}"/>
    <cellStyle name="Nuovo 5" xfId="1425" xr:uid="{00000000-0005-0000-0000-000041190000}"/>
    <cellStyle name="Nuovo 5 2" xfId="1426" xr:uid="{00000000-0005-0000-0000-000042190000}"/>
    <cellStyle name="Nuovo 5 2 2" xfId="2912" xr:uid="{00000000-0005-0000-0000-000043190000}"/>
    <cellStyle name="Nuovo 5 3" xfId="1427" xr:uid="{00000000-0005-0000-0000-000044190000}"/>
    <cellStyle name="Nuovo 5 3 2" xfId="1428" xr:uid="{00000000-0005-0000-0000-000045190000}"/>
    <cellStyle name="Nuovo 5 3 3" xfId="1429" xr:uid="{00000000-0005-0000-0000-000046190000}"/>
    <cellStyle name="Nuovo 5 3 3 2" xfId="2914" xr:uid="{00000000-0005-0000-0000-000047190000}"/>
    <cellStyle name="Nuovo 5 3 4" xfId="2913" xr:uid="{00000000-0005-0000-0000-000048190000}"/>
    <cellStyle name="Nuovo 5 4" xfId="1430" xr:uid="{00000000-0005-0000-0000-000049190000}"/>
    <cellStyle name="Nuovo 5 4 2" xfId="1431" xr:uid="{00000000-0005-0000-0000-00004A190000}"/>
    <cellStyle name="Nuovo 5 4 2 2" xfId="2916" xr:uid="{00000000-0005-0000-0000-00004B190000}"/>
    <cellStyle name="Nuovo 5 4 3" xfId="2915" xr:uid="{00000000-0005-0000-0000-00004C190000}"/>
    <cellStyle name="Nuovo 5 5" xfId="1432" xr:uid="{00000000-0005-0000-0000-00004D190000}"/>
    <cellStyle name="Nuovo 6" xfId="1433" xr:uid="{00000000-0005-0000-0000-00004E190000}"/>
    <cellStyle name="Nuovo 6 2" xfId="1434" xr:uid="{00000000-0005-0000-0000-00004F190000}"/>
    <cellStyle name="Nuovo 6 2 2" xfId="2917" xr:uid="{00000000-0005-0000-0000-000050190000}"/>
    <cellStyle name="Nuovo 6 3" xfId="1435" xr:uid="{00000000-0005-0000-0000-000051190000}"/>
    <cellStyle name="Nuovo 6 3 2" xfId="1436" xr:uid="{00000000-0005-0000-0000-000052190000}"/>
    <cellStyle name="Nuovo 6 3 3" xfId="1437" xr:uid="{00000000-0005-0000-0000-000053190000}"/>
    <cellStyle name="Nuovo 6 3 3 2" xfId="2919" xr:uid="{00000000-0005-0000-0000-000054190000}"/>
    <cellStyle name="Nuovo 6 3 4" xfId="2918" xr:uid="{00000000-0005-0000-0000-000055190000}"/>
    <cellStyle name="Nuovo 6 4" xfId="1438" xr:uid="{00000000-0005-0000-0000-000056190000}"/>
    <cellStyle name="Nuovo 6 4 2" xfId="1439" xr:uid="{00000000-0005-0000-0000-000057190000}"/>
    <cellStyle name="Nuovo 6 4 2 2" xfId="2921" xr:uid="{00000000-0005-0000-0000-000058190000}"/>
    <cellStyle name="Nuovo 6 4 3" xfId="2920" xr:uid="{00000000-0005-0000-0000-000059190000}"/>
    <cellStyle name="Nuovo 6 5" xfId="1440" xr:uid="{00000000-0005-0000-0000-00005A190000}"/>
    <cellStyle name="Nuovo 7" xfId="1441" xr:uid="{00000000-0005-0000-0000-00005B190000}"/>
    <cellStyle name="Nuovo 7 2" xfId="1442" xr:uid="{00000000-0005-0000-0000-00005C190000}"/>
    <cellStyle name="Nuovo 7 2 2" xfId="2922" xr:uid="{00000000-0005-0000-0000-00005D190000}"/>
    <cellStyle name="Nuovo 7 3" xfId="1443" xr:uid="{00000000-0005-0000-0000-00005E190000}"/>
    <cellStyle name="Nuovo 7 3 2" xfId="1444" xr:uid="{00000000-0005-0000-0000-00005F190000}"/>
    <cellStyle name="Nuovo 7 3 3" xfId="1445" xr:uid="{00000000-0005-0000-0000-000060190000}"/>
    <cellStyle name="Nuovo 7 3 3 2" xfId="2924" xr:uid="{00000000-0005-0000-0000-000061190000}"/>
    <cellStyle name="Nuovo 7 3 4" xfId="2923" xr:uid="{00000000-0005-0000-0000-000062190000}"/>
    <cellStyle name="Nuovo 7 4" xfId="1446" xr:uid="{00000000-0005-0000-0000-000063190000}"/>
    <cellStyle name="Nuovo 7 4 2" xfId="1447" xr:uid="{00000000-0005-0000-0000-000064190000}"/>
    <cellStyle name="Nuovo 7 4 2 2" xfId="2926" xr:uid="{00000000-0005-0000-0000-000065190000}"/>
    <cellStyle name="Nuovo 7 4 3" xfId="2925" xr:uid="{00000000-0005-0000-0000-000066190000}"/>
    <cellStyle name="Nuovo 7 5" xfId="1448" xr:uid="{00000000-0005-0000-0000-000067190000}"/>
    <cellStyle name="Nuovo 8" xfId="1449" xr:uid="{00000000-0005-0000-0000-000068190000}"/>
    <cellStyle name="Nuovo 8 2" xfId="1450" xr:uid="{00000000-0005-0000-0000-000069190000}"/>
    <cellStyle name="Nuovo 8 2 2" xfId="2927" xr:uid="{00000000-0005-0000-0000-00006A190000}"/>
    <cellStyle name="Nuovo 8 3" xfId="1451" xr:uid="{00000000-0005-0000-0000-00006B190000}"/>
    <cellStyle name="Nuovo 8 3 2" xfId="1452" xr:uid="{00000000-0005-0000-0000-00006C190000}"/>
    <cellStyle name="Nuovo 8 3 3" xfId="1453" xr:uid="{00000000-0005-0000-0000-00006D190000}"/>
    <cellStyle name="Nuovo 8 3 3 2" xfId="2929" xr:uid="{00000000-0005-0000-0000-00006E190000}"/>
    <cellStyle name="Nuovo 8 3 4" xfId="2928" xr:uid="{00000000-0005-0000-0000-00006F190000}"/>
    <cellStyle name="Nuovo 8 4" xfId="1454" xr:uid="{00000000-0005-0000-0000-000070190000}"/>
    <cellStyle name="Nuovo 8 4 2" xfId="1455" xr:uid="{00000000-0005-0000-0000-000071190000}"/>
    <cellStyle name="Nuovo 8 4 2 2" xfId="2931" xr:uid="{00000000-0005-0000-0000-000072190000}"/>
    <cellStyle name="Nuovo 8 4 3" xfId="2930" xr:uid="{00000000-0005-0000-0000-000073190000}"/>
    <cellStyle name="Nuovo 8 5" xfId="1456" xr:uid="{00000000-0005-0000-0000-000074190000}"/>
    <cellStyle name="Nuovo 9" xfId="1457" xr:uid="{00000000-0005-0000-0000-000075190000}"/>
    <cellStyle name="Nuovo 9 2" xfId="1458" xr:uid="{00000000-0005-0000-0000-000076190000}"/>
    <cellStyle name="Nuovo 9 2 2" xfId="2932" xr:uid="{00000000-0005-0000-0000-000077190000}"/>
    <cellStyle name="Nuovo 9 3" xfId="1459" xr:uid="{00000000-0005-0000-0000-000078190000}"/>
    <cellStyle name="Nuovo 9 3 2" xfId="1460" xr:uid="{00000000-0005-0000-0000-000079190000}"/>
    <cellStyle name="Nuovo 9 3 3" xfId="1461" xr:uid="{00000000-0005-0000-0000-00007A190000}"/>
    <cellStyle name="Nuovo 9 3 3 2" xfId="2934" xr:uid="{00000000-0005-0000-0000-00007B190000}"/>
    <cellStyle name="Nuovo 9 3 4" xfId="2933" xr:uid="{00000000-0005-0000-0000-00007C190000}"/>
    <cellStyle name="Nuovo 9 4" xfId="1462" xr:uid="{00000000-0005-0000-0000-00007D190000}"/>
    <cellStyle name="Nuovo 9 4 2" xfId="1463" xr:uid="{00000000-0005-0000-0000-00007E190000}"/>
    <cellStyle name="Nuovo 9 4 2 2" xfId="2936" xr:uid="{00000000-0005-0000-0000-00007F190000}"/>
    <cellStyle name="Nuovo 9 4 3" xfId="2935" xr:uid="{00000000-0005-0000-0000-000080190000}"/>
    <cellStyle name="Nuovo 9 5" xfId="1464" xr:uid="{00000000-0005-0000-0000-000081190000}"/>
    <cellStyle name="Output" xfId="1465" builtinId="21" customBuiltin="1"/>
    <cellStyle name="Output 2" xfId="1466" xr:uid="{00000000-0005-0000-0000-000083190000}"/>
    <cellStyle name="Output 2 2" xfId="3523" xr:uid="{00000000-0005-0000-0000-000084190000}"/>
    <cellStyle name="Output 3" xfId="1467" xr:uid="{00000000-0005-0000-0000-000085190000}"/>
    <cellStyle name="Overskrift 1 2" xfId="1468" xr:uid="{00000000-0005-0000-0000-000086190000}"/>
    <cellStyle name="Overskrift 1 2 2" xfId="3525" xr:uid="{00000000-0005-0000-0000-000087190000}"/>
    <cellStyle name="Overskrift 2 2" xfId="1469" xr:uid="{00000000-0005-0000-0000-000088190000}"/>
    <cellStyle name="Overskrift 2 2 2" xfId="3526" xr:uid="{00000000-0005-0000-0000-000089190000}"/>
    <cellStyle name="Overskrift 3 2" xfId="1470" xr:uid="{00000000-0005-0000-0000-00008A190000}"/>
    <cellStyle name="Overskrift 3 2 2" xfId="3527" xr:uid="{00000000-0005-0000-0000-00008B190000}"/>
    <cellStyle name="Overskrift 4 2" xfId="1471" xr:uid="{00000000-0005-0000-0000-00008C190000}"/>
    <cellStyle name="Overskrift 4 2 2" xfId="3528" xr:uid="{00000000-0005-0000-0000-00008D190000}"/>
    <cellStyle name="Percen - Type1" xfId="1472" xr:uid="{00000000-0005-0000-0000-00008E190000}"/>
    <cellStyle name="Percent" xfId="1473" builtinId="5"/>
    <cellStyle name="Percent 2" xfId="1474" xr:uid="{00000000-0005-0000-0000-000090190000}"/>
    <cellStyle name="Percent 2 2" xfId="2937" xr:uid="{00000000-0005-0000-0000-000091190000}"/>
    <cellStyle name="Percent 2 2 2" xfId="3451" xr:uid="{00000000-0005-0000-0000-000092190000}"/>
    <cellStyle name="Percent 2 2 2 2" xfId="6665" xr:uid="{00000000-0005-0000-0000-000093190000}"/>
    <cellStyle name="Percent 3" xfId="1475" xr:uid="{00000000-0005-0000-0000-000094190000}"/>
    <cellStyle name="Percent 3 2" xfId="1476" xr:uid="{00000000-0005-0000-0000-000095190000}"/>
    <cellStyle name="Percent 3 2 2" xfId="5305" xr:uid="{00000000-0005-0000-0000-000096190000}"/>
    <cellStyle name="Percent 3 2 3" xfId="4924" xr:uid="{00000000-0005-0000-0000-000097190000}"/>
    <cellStyle name="Percent 3 3" xfId="1477" xr:uid="{00000000-0005-0000-0000-000098190000}"/>
    <cellStyle name="Percent 3 3 2" xfId="1478" xr:uid="{00000000-0005-0000-0000-000099190000}"/>
    <cellStyle name="Percent 3 3 3" xfId="1479" xr:uid="{00000000-0005-0000-0000-00009A190000}"/>
    <cellStyle name="Percent 3 3 3 2" xfId="2939" xr:uid="{00000000-0005-0000-0000-00009B190000}"/>
    <cellStyle name="Percent 3 3 4" xfId="2938" xr:uid="{00000000-0005-0000-0000-00009C190000}"/>
    <cellStyle name="Percent 3 4" xfId="1480" xr:uid="{00000000-0005-0000-0000-00009D190000}"/>
    <cellStyle name="Percent 3 5" xfId="1481" xr:uid="{00000000-0005-0000-0000-00009E190000}"/>
    <cellStyle name="Percent 3 5 2" xfId="2940" xr:uid="{00000000-0005-0000-0000-00009F190000}"/>
    <cellStyle name="Percent 3 6" xfId="5304" xr:uid="{00000000-0005-0000-0000-0000A0190000}"/>
    <cellStyle name="Percent 4" xfId="1482" xr:uid="{00000000-0005-0000-0000-0000A1190000}"/>
    <cellStyle name="Percent 4 2" xfId="1483" xr:uid="{00000000-0005-0000-0000-0000A2190000}"/>
    <cellStyle name="Percent 4 2 2" xfId="2942" xr:uid="{00000000-0005-0000-0000-0000A3190000}"/>
    <cellStyle name="Percent 4 3" xfId="2941" xr:uid="{00000000-0005-0000-0000-0000A4190000}"/>
    <cellStyle name="Percent 5" xfId="1484" xr:uid="{00000000-0005-0000-0000-0000A5190000}"/>
    <cellStyle name="Percent 5 2" xfId="3382" xr:uid="{00000000-0005-0000-0000-0000A6190000}"/>
    <cellStyle name="Percent 6" xfId="4860" xr:uid="{00000000-0005-0000-0000-0000A7190000}"/>
    <cellStyle name="Percentuale 10" xfId="1485" xr:uid="{00000000-0005-0000-0000-0000A8190000}"/>
    <cellStyle name="Percentuale 10 2" xfId="1486" xr:uid="{00000000-0005-0000-0000-0000A9190000}"/>
    <cellStyle name="Percentuale 10 2 2" xfId="2943" xr:uid="{00000000-0005-0000-0000-0000AA190000}"/>
    <cellStyle name="Percentuale 10 3" xfId="1487" xr:uid="{00000000-0005-0000-0000-0000AB190000}"/>
    <cellStyle name="Percentuale 10 3 2" xfId="1488" xr:uid="{00000000-0005-0000-0000-0000AC190000}"/>
    <cellStyle name="Percentuale 10 3 3" xfId="1489" xr:uid="{00000000-0005-0000-0000-0000AD190000}"/>
    <cellStyle name="Percentuale 10 3 3 2" xfId="2945" xr:uid="{00000000-0005-0000-0000-0000AE190000}"/>
    <cellStyle name="Percentuale 10 3 4" xfId="2944" xr:uid="{00000000-0005-0000-0000-0000AF190000}"/>
    <cellStyle name="Percentuale 10 4" xfId="1490" xr:uid="{00000000-0005-0000-0000-0000B0190000}"/>
    <cellStyle name="Percentuale 10 4 2" xfId="1491" xr:uid="{00000000-0005-0000-0000-0000B1190000}"/>
    <cellStyle name="Percentuale 10 4 2 2" xfId="2947" xr:uid="{00000000-0005-0000-0000-0000B2190000}"/>
    <cellStyle name="Percentuale 10 4 3" xfId="2946" xr:uid="{00000000-0005-0000-0000-0000B3190000}"/>
    <cellStyle name="Percentuale 10 5" xfId="1492" xr:uid="{00000000-0005-0000-0000-0000B4190000}"/>
    <cellStyle name="Percentuale 11" xfId="1493" xr:uid="{00000000-0005-0000-0000-0000B5190000}"/>
    <cellStyle name="Percentuale 11 2" xfId="1494" xr:uid="{00000000-0005-0000-0000-0000B6190000}"/>
    <cellStyle name="Percentuale 11 2 2" xfId="2948" xr:uid="{00000000-0005-0000-0000-0000B7190000}"/>
    <cellStyle name="Percentuale 11 3" xfId="1495" xr:uid="{00000000-0005-0000-0000-0000B8190000}"/>
    <cellStyle name="Percentuale 11 3 2" xfId="1496" xr:uid="{00000000-0005-0000-0000-0000B9190000}"/>
    <cellStyle name="Percentuale 11 3 3" xfId="1497" xr:uid="{00000000-0005-0000-0000-0000BA190000}"/>
    <cellStyle name="Percentuale 11 3 3 2" xfId="2950" xr:uid="{00000000-0005-0000-0000-0000BB190000}"/>
    <cellStyle name="Percentuale 11 3 4" xfId="2949" xr:uid="{00000000-0005-0000-0000-0000BC190000}"/>
    <cellStyle name="Percentuale 11 4" xfId="1498" xr:uid="{00000000-0005-0000-0000-0000BD190000}"/>
    <cellStyle name="Percentuale 11 4 2" xfId="1499" xr:uid="{00000000-0005-0000-0000-0000BE190000}"/>
    <cellStyle name="Percentuale 11 4 2 2" xfId="2952" xr:uid="{00000000-0005-0000-0000-0000BF190000}"/>
    <cellStyle name="Percentuale 11 4 3" xfId="2951" xr:uid="{00000000-0005-0000-0000-0000C0190000}"/>
    <cellStyle name="Percentuale 11 5" xfId="1500" xr:uid="{00000000-0005-0000-0000-0000C1190000}"/>
    <cellStyle name="Percentuale 12" xfId="1501" xr:uid="{00000000-0005-0000-0000-0000C2190000}"/>
    <cellStyle name="Percentuale 12 2" xfId="1502" xr:uid="{00000000-0005-0000-0000-0000C3190000}"/>
    <cellStyle name="Percentuale 12 2 2" xfId="2953" xr:uid="{00000000-0005-0000-0000-0000C4190000}"/>
    <cellStyle name="Percentuale 12 3" xfId="1503" xr:uid="{00000000-0005-0000-0000-0000C5190000}"/>
    <cellStyle name="Percentuale 12 3 2" xfId="1504" xr:uid="{00000000-0005-0000-0000-0000C6190000}"/>
    <cellStyle name="Percentuale 12 3 3" xfId="1505" xr:uid="{00000000-0005-0000-0000-0000C7190000}"/>
    <cellStyle name="Percentuale 12 3 3 2" xfId="2955" xr:uid="{00000000-0005-0000-0000-0000C8190000}"/>
    <cellStyle name="Percentuale 12 3 4" xfId="2954" xr:uid="{00000000-0005-0000-0000-0000C9190000}"/>
    <cellStyle name="Percentuale 12 4" xfId="1506" xr:uid="{00000000-0005-0000-0000-0000CA190000}"/>
    <cellStyle name="Percentuale 12 4 2" xfId="1507" xr:uid="{00000000-0005-0000-0000-0000CB190000}"/>
    <cellStyle name="Percentuale 12 4 2 2" xfId="2957" xr:uid="{00000000-0005-0000-0000-0000CC190000}"/>
    <cellStyle name="Percentuale 12 4 3" xfId="2956" xr:uid="{00000000-0005-0000-0000-0000CD190000}"/>
    <cellStyle name="Percentuale 12 5" xfId="1508" xr:uid="{00000000-0005-0000-0000-0000CE190000}"/>
    <cellStyle name="Percentuale 13" xfId="1509" xr:uid="{00000000-0005-0000-0000-0000CF190000}"/>
    <cellStyle name="Percentuale 13 2" xfId="1510" xr:uid="{00000000-0005-0000-0000-0000D0190000}"/>
    <cellStyle name="Percentuale 13 2 2" xfId="2958" xr:uid="{00000000-0005-0000-0000-0000D1190000}"/>
    <cellStyle name="Percentuale 13 3" xfId="1511" xr:uid="{00000000-0005-0000-0000-0000D2190000}"/>
    <cellStyle name="Percentuale 13 3 2" xfId="1512" xr:uid="{00000000-0005-0000-0000-0000D3190000}"/>
    <cellStyle name="Percentuale 13 3 3" xfId="1513" xr:uid="{00000000-0005-0000-0000-0000D4190000}"/>
    <cellStyle name="Percentuale 13 3 3 2" xfId="2960" xr:uid="{00000000-0005-0000-0000-0000D5190000}"/>
    <cellStyle name="Percentuale 13 3 4" xfId="2959" xr:uid="{00000000-0005-0000-0000-0000D6190000}"/>
    <cellStyle name="Percentuale 13 4" xfId="1514" xr:uid="{00000000-0005-0000-0000-0000D7190000}"/>
    <cellStyle name="Percentuale 13 4 2" xfId="1515" xr:uid="{00000000-0005-0000-0000-0000D8190000}"/>
    <cellStyle name="Percentuale 13 4 2 2" xfId="2962" xr:uid="{00000000-0005-0000-0000-0000D9190000}"/>
    <cellStyle name="Percentuale 13 4 3" xfId="2961" xr:uid="{00000000-0005-0000-0000-0000DA190000}"/>
    <cellStyle name="Percentuale 13 5" xfId="1516" xr:uid="{00000000-0005-0000-0000-0000DB190000}"/>
    <cellStyle name="Percentuale 14" xfId="1517" xr:uid="{00000000-0005-0000-0000-0000DC190000}"/>
    <cellStyle name="Percentuale 14 2" xfId="1518" xr:uid="{00000000-0005-0000-0000-0000DD190000}"/>
    <cellStyle name="Percentuale 14 2 2" xfId="2963" xr:uid="{00000000-0005-0000-0000-0000DE190000}"/>
    <cellStyle name="Percentuale 14 3" xfId="1519" xr:uid="{00000000-0005-0000-0000-0000DF190000}"/>
    <cellStyle name="Percentuale 14 3 2" xfId="1520" xr:uid="{00000000-0005-0000-0000-0000E0190000}"/>
    <cellStyle name="Percentuale 14 3 3" xfId="1521" xr:uid="{00000000-0005-0000-0000-0000E1190000}"/>
    <cellStyle name="Percentuale 14 3 3 2" xfId="2965" xr:uid="{00000000-0005-0000-0000-0000E2190000}"/>
    <cellStyle name="Percentuale 14 3 4" xfId="2964" xr:uid="{00000000-0005-0000-0000-0000E3190000}"/>
    <cellStyle name="Percentuale 14 4" xfId="1522" xr:uid="{00000000-0005-0000-0000-0000E4190000}"/>
    <cellStyle name="Percentuale 14 4 2" xfId="1523" xr:uid="{00000000-0005-0000-0000-0000E5190000}"/>
    <cellStyle name="Percentuale 14 4 2 2" xfId="2967" xr:uid="{00000000-0005-0000-0000-0000E6190000}"/>
    <cellStyle name="Percentuale 14 4 3" xfId="2966" xr:uid="{00000000-0005-0000-0000-0000E7190000}"/>
    <cellStyle name="Percentuale 14 5" xfId="1524" xr:uid="{00000000-0005-0000-0000-0000E8190000}"/>
    <cellStyle name="Percentuale 15" xfId="1525" xr:uid="{00000000-0005-0000-0000-0000E9190000}"/>
    <cellStyle name="Percentuale 15 2" xfId="1526" xr:uid="{00000000-0005-0000-0000-0000EA190000}"/>
    <cellStyle name="Percentuale 15 2 2" xfId="2968" xr:uid="{00000000-0005-0000-0000-0000EB190000}"/>
    <cellStyle name="Percentuale 15 3" xfId="1527" xr:uid="{00000000-0005-0000-0000-0000EC190000}"/>
    <cellStyle name="Percentuale 15 3 2" xfId="1528" xr:uid="{00000000-0005-0000-0000-0000ED190000}"/>
    <cellStyle name="Percentuale 15 3 3" xfId="1529" xr:uid="{00000000-0005-0000-0000-0000EE190000}"/>
    <cellStyle name="Percentuale 15 3 3 2" xfId="2970" xr:uid="{00000000-0005-0000-0000-0000EF190000}"/>
    <cellStyle name="Percentuale 15 3 4" xfId="2969" xr:uid="{00000000-0005-0000-0000-0000F0190000}"/>
    <cellStyle name="Percentuale 15 4" xfId="1530" xr:uid="{00000000-0005-0000-0000-0000F1190000}"/>
    <cellStyle name="Percentuale 15 4 2" xfId="1531" xr:uid="{00000000-0005-0000-0000-0000F2190000}"/>
    <cellStyle name="Percentuale 15 4 2 2" xfId="2972" xr:uid="{00000000-0005-0000-0000-0000F3190000}"/>
    <cellStyle name="Percentuale 15 4 3" xfId="2971" xr:uid="{00000000-0005-0000-0000-0000F4190000}"/>
    <cellStyle name="Percentuale 15 5" xfId="1532" xr:uid="{00000000-0005-0000-0000-0000F5190000}"/>
    <cellStyle name="Percentuale 16" xfId="1533" xr:uid="{00000000-0005-0000-0000-0000F6190000}"/>
    <cellStyle name="Percentuale 16 2" xfId="1534" xr:uid="{00000000-0005-0000-0000-0000F7190000}"/>
    <cellStyle name="Percentuale 16 2 2" xfId="2973" xr:uid="{00000000-0005-0000-0000-0000F8190000}"/>
    <cellStyle name="Percentuale 16 3" xfId="1535" xr:uid="{00000000-0005-0000-0000-0000F9190000}"/>
    <cellStyle name="Percentuale 16 3 2" xfId="1536" xr:uid="{00000000-0005-0000-0000-0000FA190000}"/>
    <cellStyle name="Percentuale 16 3 3" xfId="1537" xr:uid="{00000000-0005-0000-0000-0000FB190000}"/>
    <cellStyle name="Percentuale 16 3 3 2" xfId="2975" xr:uid="{00000000-0005-0000-0000-0000FC190000}"/>
    <cellStyle name="Percentuale 16 3 4" xfId="2974" xr:uid="{00000000-0005-0000-0000-0000FD190000}"/>
    <cellStyle name="Percentuale 16 4" xfId="1538" xr:uid="{00000000-0005-0000-0000-0000FE190000}"/>
    <cellStyle name="Percentuale 16 4 2" xfId="1539" xr:uid="{00000000-0005-0000-0000-0000FF190000}"/>
    <cellStyle name="Percentuale 16 4 2 2" xfId="2977" xr:uid="{00000000-0005-0000-0000-0000001A0000}"/>
    <cellStyle name="Percentuale 16 4 3" xfId="2976" xr:uid="{00000000-0005-0000-0000-0000011A0000}"/>
    <cellStyle name="Percentuale 16 5" xfId="1540" xr:uid="{00000000-0005-0000-0000-0000021A0000}"/>
    <cellStyle name="Percentuale 17" xfId="1541" xr:uid="{00000000-0005-0000-0000-0000031A0000}"/>
    <cellStyle name="Percentuale 17 2" xfId="1542" xr:uid="{00000000-0005-0000-0000-0000041A0000}"/>
    <cellStyle name="Percentuale 17 2 2" xfId="2978" xr:uid="{00000000-0005-0000-0000-0000051A0000}"/>
    <cellStyle name="Percentuale 17 3" xfId="1543" xr:uid="{00000000-0005-0000-0000-0000061A0000}"/>
    <cellStyle name="Percentuale 17 3 2" xfId="1544" xr:uid="{00000000-0005-0000-0000-0000071A0000}"/>
    <cellStyle name="Percentuale 17 3 3" xfId="1545" xr:uid="{00000000-0005-0000-0000-0000081A0000}"/>
    <cellStyle name="Percentuale 17 3 3 2" xfId="2980" xr:uid="{00000000-0005-0000-0000-0000091A0000}"/>
    <cellStyle name="Percentuale 17 3 4" xfId="2979" xr:uid="{00000000-0005-0000-0000-00000A1A0000}"/>
    <cellStyle name="Percentuale 17 4" xfId="1546" xr:uid="{00000000-0005-0000-0000-00000B1A0000}"/>
    <cellStyle name="Percentuale 17 4 2" xfId="1547" xr:uid="{00000000-0005-0000-0000-00000C1A0000}"/>
    <cellStyle name="Percentuale 17 4 2 2" xfId="2982" xr:uid="{00000000-0005-0000-0000-00000D1A0000}"/>
    <cellStyle name="Percentuale 17 4 3" xfId="2981" xr:uid="{00000000-0005-0000-0000-00000E1A0000}"/>
    <cellStyle name="Percentuale 17 5" xfId="1548" xr:uid="{00000000-0005-0000-0000-00000F1A0000}"/>
    <cellStyle name="Percentuale 18" xfId="1549" xr:uid="{00000000-0005-0000-0000-0000101A0000}"/>
    <cellStyle name="Percentuale 18 2" xfId="1550" xr:uid="{00000000-0005-0000-0000-0000111A0000}"/>
    <cellStyle name="Percentuale 18 2 2" xfId="2983" xr:uid="{00000000-0005-0000-0000-0000121A0000}"/>
    <cellStyle name="Percentuale 18 3" xfId="1551" xr:uid="{00000000-0005-0000-0000-0000131A0000}"/>
    <cellStyle name="Percentuale 18 3 2" xfId="1552" xr:uid="{00000000-0005-0000-0000-0000141A0000}"/>
    <cellStyle name="Percentuale 18 3 3" xfId="1553" xr:uid="{00000000-0005-0000-0000-0000151A0000}"/>
    <cellStyle name="Percentuale 18 3 3 2" xfId="2985" xr:uid="{00000000-0005-0000-0000-0000161A0000}"/>
    <cellStyle name="Percentuale 18 3 4" xfId="2984" xr:uid="{00000000-0005-0000-0000-0000171A0000}"/>
    <cellStyle name="Percentuale 18 4" xfId="1554" xr:uid="{00000000-0005-0000-0000-0000181A0000}"/>
    <cellStyle name="Percentuale 18 4 2" xfId="1555" xr:uid="{00000000-0005-0000-0000-0000191A0000}"/>
    <cellStyle name="Percentuale 18 4 2 2" xfId="2987" xr:uid="{00000000-0005-0000-0000-00001A1A0000}"/>
    <cellStyle name="Percentuale 18 4 3" xfId="2986" xr:uid="{00000000-0005-0000-0000-00001B1A0000}"/>
    <cellStyle name="Percentuale 18 5" xfId="1556" xr:uid="{00000000-0005-0000-0000-00001C1A0000}"/>
    <cellStyle name="Percentuale 19" xfId="1557" xr:uid="{00000000-0005-0000-0000-00001D1A0000}"/>
    <cellStyle name="Percentuale 19 2" xfId="1558" xr:uid="{00000000-0005-0000-0000-00001E1A0000}"/>
    <cellStyle name="Percentuale 19 2 2" xfId="2988" xr:uid="{00000000-0005-0000-0000-00001F1A0000}"/>
    <cellStyle name="Percentuale 19 3" xfId="1559" xr:uid="{00000000-0005-0000-0000-0000201A0000}"/>
    <cellStyle name="Percentuale 19 3 2" xfId="1560" xr:uid="{00000000-0005-0000-0000-0000211A0000}"/>
    <cellStyle name="Percentuale 19 3 3" xfId="1561" xr:uid="{00000000-0005-0000-0000-0000221A0000}"/>
    <cellStyle name="Percentuale 19 3 3 2" xfId="2990" xr:uid="{00000000-0005-0000-0000-0000231A0000}"/>
    <cellStyle name="Percentuale 19 3 4" xfId="2989" xr:uid="{00000000-0005-0000-0000-0000241A0000}"/>
    <cellStyle name="Percentuale 19 4" xfId="1562" xr:uid="{00000000-0005-0000-0000-0000251A0000}"/>
    <cellStyle name="Percentuale 19 4 2" xfId="1563" xr:uid="{00000000-0005-0000-0000-0000261A0000}"/>
    <cellStyle name="Percentuale 19 4 2 2" xfId="2992" xr:uid="{00000000-0005-0000-0000-0000271A0000}"/>
    <cellStyle name="Percentuale 19 4 3" xfId="2991" xr:uid="{00000000-0005-0000-0000-0000281A0000}"/>
    <cellStyle name="Percentuale 19 5" xfId="1564" xr:uid="{00000000-0005-0000-0000-0000291A0000}"/>
    <cellStyle name="Percentuale 2" xfId="1565" xr:uid="{00000000-0005-0000-0000-00002A1A0000}"/>
    <cellStyle name="Percentuale 2 2" xfId="1566" xr:uid="{00000000-0005-0000-0000-00002B1A0000}"/>
    <cellStyle name="Percentuale 2 2 2" xfId="2993" xr:uid="{00000000-0005-0000-0000-00002C1A0000}"/>
    <cellStyle name="Percentuale 2 3" xfId="1567" xr:uid="{00000000-0005-0000-0000-00002D1A0000}"/>
    <cellStyle name="Percentuale 2 3 2" xfId="1568" xr:uid="{00000000-0005-0000-0000-00002E1A0000}"/>
    <cellStyle name="Percentuale 2 3 3" xfId="1569" xr:uid="{00000000-0005-0000-0000-00002F1A0000}"/>
    <cellStyle name="Percentuale 2 3 3 2" xfId="2995" xr:uid="{00000000-0005-0000-0000-0000301A0000}"/>
    <cellStyle name="Percentuale 2 3 4" xfId="2994" xr:uid="{00000000-0005-0000-0000-0000311A0000}"/>
    <cellStyle name="Percentuale 2 4" xfId="1570" xr:uid="{00000000-0005-0000-0000-0000321A0000}"/>
    <cellStyle name="Percentuale 2 4 2" xfId="1571" xr:uid="{00000000-0005-0000-0000-0000331A0000}"/>
    <cellStyle name="Percentuale 2 4 2 2" xfId="2997" xr:uid="{00000000-0005-0000-0000-0000341A0000}"/>
    <cellStyle name="Percentuale 2 4 3" xfId="2996" xr:uid="{00000000-0005-0000-0000-0000351A0000}"/>
    <cellStyle name="Percentuale 2 5" xfId="1572" xr:uid="{00000000-0005-0000-0000-0000361A0000}"/>
    <cellStyle name="Percentuale 20" xfId="1573" xr:uid="{00000000-0005-0000-0000-0000371A0000}"/>
    <cellStyle name="Percentuale 20 2" xfId="1574" xr:uid="{00000000-0005-0000-0000-0000381A0000}"/>
    <cellStyle name="Percentuale 20 2 2" xfId="2998" xr:uid="{00000000-0005-0000-0000-0000391A0000}"/>
    <cellStyle name="Percentuale 20 3" xfId="1575" xr:uid="{00000000-0005-0000-0000-00003A1A0000}"/>
    <cellStyle name="Percentuale 20 3 2" xfId="1576" xr:uid="{00000000-0005-0000-0000-00003B1A0000}"/>
    <cellStyle name="Percentuale 20 3 3" xfId="1577" xr:uid="{00000000-0005-0000-0000-00003C1A0000}"/>
    <cellStyle name="Percentuale 20 3 3 2" xfId="3000" xr:uid="{00000000-0005-0000-0000-00003D1A0000}"/>
    <cellStyle name="Percentuale 20 3 4" xfId="2999" xr:uid="{00000000-0005-0000-0000-00003E1A0000}"/>
    <cellStyle name="Percentuale 20 4" xfId="1578" xr:uid="{00000000-0005-0000-0000-00003F1A0000}"/>
    <cellStyle name="Percentuale 20 4 2" xfId="1579" xr:uid="{00000000-0005-0000-0000-0000401A0000}"/>
    <cellStyle name="Percentuale 20 4 2 2" xfId="3002" xr:uid="{00000000-0005-0000-0000-0000411A0000}"/>
    <cellStyle name="Percentuale 20 4 3" xfId="3001" xr:uid="{00000000-0005-0000-0000-0000421A0000}"/>
    <cellStyle name="Percentuale 20 5" xfId="1580" xr:uid="{00000000-0005-0000-0000-0000431A0000}"/>
    <cellStyle name="Percentuale 21" xfId="1581" xr:uid="{00000000-0005-0000-0000-0000441A0000}"/>
    <cellStyle name="Percentuale 21 2" xfId="1582" xr:uid="{00000000-0005-0000-0000-0000451A0000}"/>
    <cellStyle name="Percentuale 21 2 2" xfId="3003" xr:uid="{00000000-0005-0000-0000-0000461A0000}"/>
    <cellStyle name="Percentuale 21 3" xfId="1583" xr:uid="{00000000-0005-0000-0000-0000471A0000}"/>
    <cellStyle name="Percentuale 21 3 2" xfId="1584" xr:uid="{00000000-0005-0000-0000-0000481A0000}"/>
    <cellStyle name="Percentuale 21 3 3" xfId="1585" xr:uid="{00000000-0005-0000-0000-0000491A0000}"/>
    <cellStyle name="Percentuale 21 3 3 2" xfId="3005" xr:uid="{00000000-0005-0000-0000-00004A1A0000}"/>
    <cellStyle name="Percentuale 21 3 4" xfId="3004" xr:uid="{00000000-0005-0000-0000-00004B1A0000}"/>
    <cellStyle name="Percentuale 21 4" xfId="1586" xr:uid="{00000000-0005-0000-0000-00004C1A0000}"/>
    <cellStyle name="Percentuale 21 4 2" xfId="1587" xr:uid="{00000000-0005-0000-0000-00004D1A0000}"/>
    <cellStyle name="Percentuale 21 4 2 2" xfId="3007" xr:uid="{00000000-0005-0000-0000-00004E1A0000}"/>
    <cellStyle name="Percentuale 21 4 3" xfId="3006" xr:uid="{00000000-0005-0000-0000-00004F1A0000}"/>
    <cellStyle name="Percentuale 21 5" xfId="1588" xr:uid="{00000000-0005-0000-0000-0000501A0000}"/>
    <cellStyle name="Percentuale 22" xfId="1589" xr:uid="{00000000-0005-0000-0000-0000511A0000}"/>
    <cellStyle name="Percentuale 22 2" xfId="1590" xr:uid="{00000000-0005-0000-0000-0000521A0000}"/>
    <cellStyle name="Percentuale 22 2 2" xfId="3008" xr:uid="{00000000-0005-0000-0000-0000531A0000}"/>
    <cellStyle name="Percentuale 22 3" xfId="1591" xr:uid="{00000000-0005-0000-0000-0000541A0000}"/>
    <cellStyle name="Percentuale 22 3 2" xfId="1592" xr:uid="{00000000-0005-0000-0000-0000551A0000}"/>
    <cellStyle name="Percentuale 22 3 3" xfId="1593" xr:uid="{00000000-0005-0000-0000-0000561A0000}"/>
    <cellStyle name="Percentuale 22 3 3 2" xfId="3010" xr:uid="{00000000-0005-0000-0000-0000571A0000}"/>
    <cellStyle name="Percentuale 22 3 4" xfId="3009" xr:uid="{00000000-0005-0000-0000-0000581A0000}"/>
    <cellStyle name="Percentuale 22 4" xfId="1594" xr:uid="{00000000-0005-0000-0000-0000591A0000}"/>
    <cellStyle name="Percentuale 22 4 2" xfId="1595" xr:uid="{00000000-0005-0000-0000-00005A1A0000}"/>
    <cellStyle name="Percentuale 22 4 2 2" xfId="3012" xr:uid="{00000000-0005-0000-0000-00005B1A0000}"/>
    <cellStyle name="Percentuale 22 4 3" xfId="3011" xr:uid="{00000000-0005-0000-0000-00005C1A0000}"/>
    <cellStyle name="Percentuale 22 5" xfId="1596" xr:uid="{00000000-0005-0000-0000-00005D1A0000}"/>
    <cellStyle name="Percentuale 23" xfId="1597" xr:uid="{00000000-0005-0000-0000-00005E1A0000}"/>
    <cellStyle name="Percentuale 23 2" xfId="1598" xr:uid="{00000000-0005-0000-0000-00005F1A0000}"/>
    <cellStyle name="Percentuale 23 2 2" xfId="3013" xr:uid="{00000000-0005-0000-0000-0000601A0000}"/>
    <cellStyle name="Percentuale 23 3" xfId="1599" xr:uid="{00000000-0005-0000-0000-0000611A0000}"/>
    <cellStyle name="Percentuale 23 3 2" xfId="1600" xr:uid="{00000000-0005-0000-0000-0000621A0000}"/>
    <cellStyle name="Percentuale 23 3 3" xfId="1601" xr:uid="{00000000-0005-0000-0000-0000631A0000}"/>
    <cellStyle name="Percentuale 23 3 3 2" xfId="3015" xr:uid="{00000000-0005-0000-0000-0000641A0000}"/>
    <cellStyle name="Percentuale 23 3 4" xfId="3014" xr:uid="{00000000-0005-0000-0000-0000651A0000}"/>
    <cellStyle name="Percentuale 23 4" xfId="1602" xr:uid="{00000000-0005-0000-0000-0000661A0000}"/>
    <cellStyle name="Percentuale 23 4 2" xfId="1603" xr:uid="{00000000-0005-0000-0000-0000671A0000}"/>
    <cellStyle name="Percentuale 23 4 2 2" xfId="3017" xr:uid="{00000000-0005-0000-0000-0000681A0000}"/>
    <cellStyle name="Percentuale 23 4 3" xfId="3016" xr:uid="{00000000-0005-0000-0000-0000691A0000}"/>
    <cellStyle name="Percentuale 23 5" xfId="1604" xr:uid="{00000000-0005-0000-0000-00006A1A0000}"/>
    <cellStyle name="Percentuale 24" xfId="1605" xr:uid="{00000000-0005-0000-0000-00006B1A0000}"/>
    <cellStyle name="Percentuale 24 2" xfId="1606" xr:uid="{00000000-0005-0000-0000-00006C1A0000}"/>
    <cellStyle name="Percentuale 24 2 2" xfId="3018" xr:uid="{00000000-0005-0000-0000-00006D1A0000}"/>
    <cellStyle name="Percentuale 24 3" xfId="1607" xr:uid="{00000000-0005-0000-0000-00006E1A0000}"/>
    <cellStyle name="Percentuale 24 3 2" xfId="1608" xr:uid="{00000000-0005-0000-0000-00006F1A0000}"/>
    <cellStyle name="Percentuale 24 3 3" xfId="1609" xr:uid="{00000000-0005-0000-0000-0000701A0000}"/>
    <cellStyle name="Percentuale 24 3 3 2" xfId="3020" xr:uid="{00000000-0005-0000-0000-0000711A0000}"/>
    <cellStyle name="Percentuale 24 3 4" xfId="3019" xr:uid="{00000000-0005-0000-0000-0000721A0000}"/>
    <cellStyle name="Percentuale 24 4" xfId="1610" xr:uid="{00000000-0005-0000-0000-0000731A0000}"/>
    <cellStyle name="Percentuale 24 4 2" xfId="1611" xr:uid="{00000000-0005-0000-0000-0000741A0000}"/>
    <cellStyle name="Percentuale 24 4 2 2" xfId="3022" xr:uid="{00000000-0005-0000-0000-0000751A0000}"/>
    <cellStyle name="Percentuale 24 4 3" xfId="3021" xr:uid="{00000000-0005-0000-0000-0000761A0000}"/>
    <cellStyle name="Percentuale 24 5" xfId="1612" xr:uid="{00000000-0005-0000-0000-0000771A0000}"/>
    <cellStyle name="Percentuale 25" xfId="1613" xr:uid="{00000000-0005-0000-0000-0000781A0000}"/>
    <cellStyle name="Percentuale 25 2" xfId="1614" xr:uid="{00000000-0005-0000-0000-0000791A0000}"/>
    <cellStyle name="Percentuale 25 2 2" xfId="3023" xr:uid="{00000000-0005-0000-0000-00007A1A0000}"/>
    <cellStyle name="Percentuale 25 3" xfId="1615" xr:uid="{00000000-0005-0000-0000-00007B1A0000}"/>
    <cellStyle name="Percentuale 25 3 2" xfId="1616" xr:uid="{00000000-0005-0000-0000-00007C1A0000}"/>
    <cellStyle name="Percentuale 25 3 3" xfId="1617" xr:uid="{00000000-0005-0000-0000-00007D1A0000}"/>
    <cellStyle name="Percentuale 25 3 3 2" xfId="3025" xr:uid="{00000000-0005-0000-0000-00007E1A0000}"/>
    <cellStyle name="Percentuale 25 3 4" xfId="3024" xr:uid="{00000000-0005-0000-0000-00007F1A0000}"/>
    <cellStyle name="Percentuale 25 4" xfId="1618" xr:uid="{00000000-0005-0000-0000-0000801A0000}"/>
    <cellStyle name="Percentuale 25 4 2" xfId="1619" xr:uid="{00000000-0005-0000-0000-0000811A0000}"/>
    <cellStyle name="Percentuale 25 4 2 2" xfId="3027" xr:uid="{00000000-0005-0000-0000-0000821A0000}"/>
    <cellStyle name="Percentuale 25 4 3" xfId="3026" xr:uid="{00000000-0005-0000-0000-0000831A0000}"/>
    <cellStyle name="Percentuale 25 5" xfId="1620" xr:uid="{00000000-0005-0000-0000-0000841A0000}"/>
    <cellStyle name="Percentuale 26" xfId="1621" xr:uid="{00000000-0005-0000-0000-0000851A0000}"/>
    <cellStyle name="Percentuale 26 2" xfId="1622" xr:uid="{00000000-0005-0000-0000-0000861A0000}"/>
    <cellStyle name="Percentuale 26 2 2" xfId="3028" xr:uid="{00000000-0005-0000-0000-0000871A0000}"/>
    <cellStyle name="Percentuale 26 3" xfId="1623" xr:uid="{00000000-0005-0000-0000-0000881A0000}"/>
    <cellStyle name="Percentuale 26 3 2" xfId="1624" xr:uid="{00000000-0005-0000-0000-0000891A0000}"/>
    <cellStyle name="Percentuale 26 3 3" xfId="1625" xr:uid="{00000000-0005-0000-0000-00008A1A0000}"/>
    <cellStyle name="Percentuale 26 3 3 2" xfId="3030" xr:uid="{00000000-0005-0000-0000-00008B1A0000}"/>
    <cellStyle name="Percentuale 26 3 4" xfId="3029" xr:uid="{00000000-0005-0000-0000-00008C1A0000}"/>
    <cellStyle name="Percentuale 26 4" xfId="1626" xr:uid="{00000000-0005-0000-0000-00008D1A0000}"/>
    <cellStyle name="Percentuale 26 4 2" xfId="1627" xr:uid="{00000000-0005-0000-0000-00008E1A0000}"/>
    <cellStyle name="Percentuale 26 4 2 2" xfId="3032" xr:uid="{00000000-0005-0000-0000-00008F1A0000}"/>
    <cellStyle name="Percentuale 26 4 3" xfId="3031" xr:uid="{00000000-0005-0000-0000-0000901A0000}"/>
    <cellStyle name="Percentuale 26 5" xfId="1628" xr:uid="{00000000-0005-0000-0000-0000911A0000}"/>
    <cellStyle name="Percentuale 27" xfId="1629" xr:uid="{00000000-0005-0000-0000-0000921A0000}"/>
    <cellStyle name="Percentuale 27 2" xfId="1630" xr:uid="{00000000-0005-0000-0000-0000931A0000}"/>
    <cellStyle name="Percentuale 27 2 2" xfId="3033" xr:uid="{00000000-0005-0000-0000-0000941A0000}"/>
    <cellStyle name="Percentuale 27 3" xfId="1631" xr:uid="{00000000-0005-0000-0000-0000951A0000}"/>
    <cellStyle name="Percentuale 27 3 2" xfId="1632" xr:uid="{00000000-0005-0000-0000-0000961A0000}"/>
    <cellStyle name="Percentuale 27 3 3" xfId="1633" xr:uid="{00000000-0005-0000-0000-0000971A0000}"/>
    <cellStyle name="Percentuale 27 3 3 2" xfId="3035" xr:uid="{00000000-0005-0000-0000-0000981A0000}"/>
    <cellStyle name="Percentuale 27 3 4" xfId="3034" xr:uid="{00000000-0005-0000-0000-0000991A0000}"/>
    <cellStyle name="Percentuale 27 4" xfId="1634" xr:uid="{00000000-0005-0000-0000-00009A1A0000}"/>
    <cellStyle name="Percentuale 27 4 2" xfId="1635" xr:uid="{00000000-0005-0000-0000-00009B1A0000}"/>
    <cellStyle name="Percentuale 27 4 2 2" xfId="3037" xr:uid="{00000000-0005-0000-0000-00009C1A0000}"/>
    <cellStyle name="Percentuale 27 4 3" xfId="3036" xr:uid="{00000000-0005-0000-0000-00009D1A0000}"/>
    <cellStyle name="Percentuale 27 5" xfId="1636" xr:uid="{00000000-0005-0000-0000-00009E1A0000}"/>
    <cellStyle name="Percentuale 28" xfId="1637" xr:uid="{00000000-0005-0000-0000-00009F1A0000}"/>
    <cellStyle name="Percentuale 28 2" xfId="1638" xr:uid="{00000000-0005-0000-0000-0000A01A0000}"/>
    <cellStyle name="Percentuale 28 2 2" xfId="3038" xr:uid="{00000000-0005-0000-0000-0000A11A0000}"/>
    <cellStyle name="Percentuale 28 3" xfId="1639" xr:uid="{00000000-0005-0000-0000-0000A21A0000}"/>
    <cellStyle name="Percentuale 28 3 2" xfId="1640" xr:uid="{00000000-0005-0000-0000-0000A31A0000}"/>
    <cellStyle name="Percentuale 28 3 3" xfId="1641" xr:uid="{00000000-0005-0000-0000-0000A41A0000}"/>
    <cellStyle name="Percentuale 28 3 3 2" xfId="3040" xr:uid="{00000000-0005-0000-0000-0000A51A0000}"/>
    <cellStyle name="Percentuale 28 3 4" xfId="3039" xr:uid="{00000000-0005-0000-0000-0000A61A0000}"/>
    <cellStyle name="Percentuale 28 4" xfId="1642" xr:uid="{00000000-0005-0000-0000-0000A71A0000}"/>
    <cellStyle name="Percentuale 28 4 2" xfId="1643" xr:uid="{00000000-0005-0000-0000-0000A81A0000}"/>
    <cellStyle name="Percentuale 28 4 2 2" xfId="3042" xr:uid="{00000000-0005-0000-0000-0000A91A0000}"/>
    <cellStyle name="Percentuale 28 4 3" xfId="3041" xr:uid="{00000000-0005-0000-0000-0000AA1A0000}"/>
    <cellStyle name="Percentuale 28 5" xfId="1644" xr:uid="{00000000-0005-0000-0000-0000AB1A0000}"/>
    <cellStyle name="Percentuale 29" xfId="1645" xr:uid="{00000000-0005-0000-0000-0000AC1A0000}"/>
    <cellStyle name="Percentuale 29 2" xfId="1646" xr:uid="{00000000-0005-0000-0000-0000AD1A0000}"/>
    <cellStyle name="Percentuale 29 2 2" xfId="3043" xr:uid="{00000000-0005-0000-0000-0000AE1A0000}"/>
    <cellStyle name="Percentuale 29 3" xfId="1647" xr:uid="{00000000-0005-0000-0000-0000AF1A0000}"/>
    <cellStyle name="Percentuale 29 3 2" xfId="1648" xr:uid="{00000000-0005-0000-0000-0000B01A0000}"/>
    <cellStyle name="Percentuale 29 3 3" xfId="1649" xr:uid="{00000000-0005-0000-0000-0000B11A0000}"/>
    <cellStyle name="Percentuale 29 3 3 2" xfId="3045" xr:uid="{00000000-0005-0000-0000-0000B21A0000}"/>
    <cellStyle name="Percentuale 29 3 4" xfId="3044" xr:uid="{00000000-0005-0000-0000-0000B31A0000}"/>
    <cellStyle name="Percentuale 29 4" xfId="1650" xr:uid="{00000000-0005-0000-0000-0000B41A0000}"/>
    <cellStyle name="Percentuale 29 4 2" xfId="1651" xr:uid="{00000000-0005-0000-0000-0000B51A0000}"/>
    <cellStyle name="Percentuale 29 4 2 2" xfId="3047" xr:uid="{00000000-0005-0000-0000-0000B61A0000}"/>
    <cellStyle name="Percentuale 29 4 3" xfId="3046" xr:uid="{00000000-0005-0000-0000-0000B71A0000}"/>
    <cellStyle name="Percentuale 29 5" xfId="1652" xr:uid="{00000000-0005-0000-0000-0000B81A0000}"/>
    <cellStyle name="Percentuale 3" xfId="1653" xr:uid="{00000000-0005-0000-0000-0000B91A0000}"/>
    <cellStyle name="Percentuale 3 2" xfId="1654" xr:uid="{00000000-0005-0000-0000-0000BA1A0000}"/>
    <cellStyle name="Percentuale 3 2 2" xfId="3048" xr:uid="{00000000-0005-0000-0000-0000BB1A0000}"/>
    <cellStyle name="Percentuale 3 3" xfId="1655" xr:uid="{00000000-0005-0000-0000-0000BC1A0000}"/>
    <cellStyle name="Percentuale 3 3 2" xfId="1656" xr:uid="{00000000-0005-0000-0000-0000BD1A0000}"/>
    <cellStyle name="Percentuale 3 3 3" xfId="1657" xr:uid="{00000000-0005-0000-0000-0000BE1A0000}"/>
    <cellStyle name="Percentuale 3 3 3 2" xfId="3050" xr:uid="{00000000-0005-0000-0000-0000BF1A0000}"/>
    <cellStyle name="Percentuale 3 3 4" xfId="3049" xr:uid="{00000000-0005-0000-0000-0000C01A0000}"/>
    <cellStyle name="Percentuale 3 4" xfId="1658" xr:uid="{00000000-0005-0000-0000-0000C11A0000}"/>
    <cellStyle name="Percentuale 3 4 2" xfId="1659" xr:uid="{00000000-0005-0000-0000-0000C21A0000}"/>
    <cellStyle name="Percentuale 3 4 2 2" xfId="3052" xr:uid="{00000000-0005-0000-0000-0000C31A0000}"/>
    <cellStyle name="Percentuale 3 4 3" xfId="3051" xr:uid="{00000000-0005-0000-0000-0000C41A0000}"/>
    <cellStyle name="Percentuale 3 5" xfId="1660" xr:uid="{00000000-0005-0000-0000-0000C51A0000}"/>
    <cellStyle name="Percentuale 30" xfId="1661" xr:uid="{00000000-0005-0000-0000-0000C61A0000}"/>
    <cellStyle name="Percentuale 30 2" xfId="1662" xr:uid="{00000000-0005-0000-0000-0000C71A0000}"/>
    <cellStyle name="Percentuale 30 2 2" xfId="3053" xr:uid="{00000000-0005-0000-0000-0000C81A0000}"/>
    <cellStyle name="Percentuale 30 3" xfId="1663" xr:uid="{00000000-0005-0000-0000-0000C91A0000}"/>
    <cellStyle name="Percentuale 30 3 2" xfId="1664" xr:uid="{00000000-0005-0000-0000-0000CA1A0000}"/>
    <cellStyle name="Percentuale 30 3 3" xfId="1665" xr:uid="{00000000-0005-0000-0000-0000CB1A0000}"/>
    <cellStyle name="Percentuale 30 3 3 2" xfId="3055" xr:uid="{00000000-0005-0000-0000-0000CC1A0000}"/>
    <cellStyle name="Percentuale 30 3 4" xfId="3054" xr:uid="{00000000-0005-0000-0000-0000CD1A0000}"/>
    <cellStyle name="Percentuale 30 4" xfId="1666" xr:uid="{00000000-0005-0000-0000-0000CE1A0000}"/>
    <cellStyle name="Percentuale 30 4 2" xfId="1667" xr:uid="{00000000-0005-0000-0000-0000CF1A0000}"/>
    <cellStyle name="Percentuale 30 4 2 2" xfId="3057" xr:uid="{00000000-0005-0000-0000-0000D01A0000}"/>
    <cellStyle name="Percentuale 30 4 3" xfId="3056" xr:uid="{00000000-0005-0000-0000-0000D11A0000}"/>
    <cellStyle name="Percentuale 30 5" xfId="1668" xr:uid="{00000000-0005-0000-0000-0000D21A0000}"/>
    <cellStyle name="Percentuale 31" xfId="1669" xr:uid="{00000000-0005-0000-0000-0000D31A0000}"/>
    <cellStyle name="Percentuale 31 2" xfId="1670" xr:uid="{00000000-0005-0000-0000-0000D41A0000}"/>
    <cellStyle name="Percentuale 31 2 2" xfId="3058" xr:uid="{00000000-0005-0000-0000-0000D51A0000}"/>
    <cellStyle name="Percentuale 31 3" xfId="1671" xr:uid="{00000000-0005-0000-0000-0000D61A0000}"/>
    <cellStyle name="Percentuale 31 3 2" xfId="1672" xr:uid="{00000000-0005-0000-0000-0000D71A0000}"/>
    <cellStyle name="Percentuale 31 3 3" xfId="1673" xr:uid="{00000000-0005-0000-0000-0000D81A0000}"/>
    <cellStyle name="Percentuale 31 3 3 2" xfId="3060" xr:uid="{00000000-0005-0000-0000-0000D91A0000}"/>
    <cellStyle name="Percentuale 31 3 4" xfId="3059" xr:uid="{00000000-0005-0000-0000-0000DA1A0000}"/>
    <cellStyle name="Percentuale 31 4" xfId="1674" xr:uid="{00000000-0005-0000-0000-0000DB1A0000}"/>
    <cellStyle name="Percentuale 31 4 2" xfId="1675" xr:uid="{00000000-0005-0000-0000-0000DC1A0000}"/>
    <cellStyle name="Percentuale 31 4 2 2" xfId="3062" xr:uid="{00000000-0005-0000-0000-0000DD1A0000}"/>
    <cellStyle name="Percentuale 31 4 3" xfId="3061" xr:uid="{00000000-0005-0000-0000-0000DE1A0000}"/>
    <cellStyle name="Percentuale 31 5" xfId="1676" xr:uid="{00000000-0005-0000-0000-0000DF1A0000}"/>
    <cellStyle name="Percentuale 32" xfId="1677" xr:uid="{00000000-0005-0000-0000-0000E01A0000}"/>
    <cellStyle name="Percentuale 32 2" xfId="1678" xr:uid="{00000000-0005-0000-0000-0000E11A0000}"/>
    <cellStyle name="Percentuale 32 2 2" xfId="3063" xr:uid="{00000000-0005-0000-0000-0000E21A0000}"/>
    <cellStyle name="Percentuale 32 3" xfId="1679" xr:uid="{00000000-0005-0000-0000-0000E31A0000}"/>
    <cellStyle name="Percentuale 32 3 2" xfId="1680" xr:uid="{00000000-0005-0000-0000-0000E41A0000}"/>
    <cellStyle name="Percentuale 32 3 3" xfId="1681" xr:uid="{00000000-0005-0000-0000-0000E51A0000}"/>
    <cellStyle name="Percentuale 32 3 3 2" xfId="3065" xr:uid="{00000000-0005-0000-0000-0000E61A0000}"/>
    <cellStyle name="Percentuale 32 3 4" xfId="3064" xr:uid="{00000000-0005-0000-0000-0000E71A0000}"/>
    <cellStyle name="Percentuale 32 4" xfId="1682" xr:uid="{00000000-0005-0000-0000-0000E81A0000}"/>
    <cellStyle name="Percentuale 32 4 2" xfId="1683" xr:uid="{00000000-0005-0000-0000-0000E91A0000}"/>
    <cellStyle name="Percentuale 32 4 2 2" xfId="3067" xr:uid="{00000000-0005-0000-0000-0000EA1A0000}"/>
    <cellStyle name="Percentuale 32 4 3" xfId="3066" xr:uid="{00000000-0005-0000-0000-0000EB1A0000}"/>
    <cellStyle name="Percentuale 32 5" xfId="1684" xr:uid="{00000000-0005-0000-0000-0000EC1A0000}"/>
    <cellStyle name="Percentuale 33" xfId="1685" xr:uid="{00000000-0005-0000-0000-0000ED1A0000}"/>
    <cellStyle name="Percentuale 33 2" xfId="1686" xr:uid="{00000000-0005-0000-0000-0000EE1A0000}"/>
    <cellStyle name="Percentuale 33 2 2" xfId="3068" xr:uid="{00000000-0005-0000-0000-0000EF1A0000}"/>
    <cellStyle name="Percentuale 33 3" xfId="1687" xr:uid="{00000000-0005-0000-0000-0000F01A0000}"/>
    <cellStyle name="Percentuale 33 3 2" xfId="1688" xr:uid="{00000000-0005-0000-0000-0000F11A0000}"/>
    <cellStyle name="Percentuale 33 3 3" xfId="1689" xr:uid="{00000000-0005-0000-0000-0000F21A0000}"/>
    <cellStyle name="Percentuale 33 3 3 2" xfId="3070" xr:uid="{00000000-0005-0000-0000-0000F31A0000}"/>
    <cellStyle name="Percentuale 33 3 4" xfId="3069" xr:uid="{00000000-0005-0000-0000-0000F41A0000}"/>
    <cellStyle name="Percentuale 33 4" xfId="1690" xr:uid="{00000000-0005-0000-0000-0000F51A0000}"/>
    <cellStyle name="Percentuale 33 4 2" xfId="1691" xr:uid="{00000000-0005-0000-0000-0000F61A0000}"/>
    <cellStyle name="Percentuale 33 4 2 2" xfId="3072" xr:uid="{00000000-0005-0000-0000-0000F71A0000}"/>
    <cellStyle name="Percentuale 33 4 3" xfId="3071" xr:uid="{00000000-0005-0000-0000-0000F81A0000}"/>
    <cellStyle name="Percentuale 33 5" xfId="1692" xr:uid="{00000000-0005-0000-0000-0000F91A0000}"/>
    <cellStyle name="Percentuale 34" xfId="1693" xr:uid="{00000000-0005-0000-0000-0000FA1A0000}"/>
    <cellStyle name="Percentuale 34 2" xfId="1694" xr:uid="{00000000-0005-0000-0000-0000FB1A0000}"/>
    <cellStyle name="Percentuale 34 2 2" xfId="3073" xr:uid="{00000000-0005-0000-0000-0000FC1A0000}"/>
    <cellStyle name="Percentuale 34 3" xfId="1695" xr:uid="{00000000-0005-0000-0000-0000FD1A0000}"/>
    <cellStyle name="Percentuale 34 3 2" xfId="1696" xr:uid="{00000000-0005-0000-0000-0000FE1A0000}"/>
    <cellStyle name="Percentuale 34 3 3" xfId="1697" xr:uid="{00000000-0005-0000-0000-0000FF1A0000}"/>
    <cellStyle name="Percentuale 34 3 3 2" xfId="3075" xr:uid="{00000000-0005-0000-0000-0000001B0000}"/>
    <cellStyle name="Percentuale 34 3 4" xfId="3074" xr:uid="{00000000-0005-0000-0000-0000011B0000}"/>
    <cellStyle name="Percentuale 34 4" xfId="1698" xr:uid="{00000000-0005-0000-0000-0000021B0000}"/>
    <cellStyle name="Percentuale 34 4 2" xfId="1699" xr:uid="{00000000-0005-0000-0000-0000031B0000}"/>
    <cellStyle name="Percentuale 34 4 2 2" xfId="3077" xr:uid="{00000000-0005-0000-0000-0000041B0000}"/>
    <cellStyle name="Percentuale 34 4 3" xfId="3076" xr:uid="{00000000-0005-0000-0000-0000051B0000}"/>
    <cellStyle name="Percentuale 34 5" xfId="1700" xr:uid="{00000000-0005-0000-0000-0000061B0000}"/>
    <cellStyle name="Percentuale 35" xfId="1701" xr:uid="{00000000-0005-0000-0000-0000071B0000}"/>
    <cellStyle name="Percentuale 35 2" xfId="1702" xr:uid="{00000000-0005-0000-0000-0000081B0000}"/>
    <cellStyle name="Percentuale 35 2 2" xfId="3078" xr:uid="{00000000-0005-0000-0000-0000091B0000}"/>
    <cellStyle name="Percentuale 35 3" xfId="1703" xr:uid="{00000000-0005-0000-0000-00000A1B0000}"/>
    <cellStyle name="Percentuale 35 3 2" xfId="1704" xr:uid="{00000000-0005-0000-0000-00000B1B0000}"/>
    <cellStyle name="Percentuale 35 3 3" xfId="1705" xr:uid="{00000000-0005-0000-0000-00000C1B0000}"/>
    <cellStyle name="Percentuale 35 3 3 2" xfId="3080" xr:uid="{00000000-0005-0000-0000-00000D1B0000}"/>
    <cellStyle name="Percentuale 35 3 4" xfId="3079" xr:uid="{00000000-0005-0000-0000-00000E1B0000}"/>
    <cellStyle name="Percentuale 35 4" xfId="1706" xr:uid="{00000000-0005-0000-0000-00000F1B0000}"/>
    <cellStyle name="Percentuale 35 4 2" xfId="1707" xr:uid="{00000000-0005-0000-0000-0000101B0000}"/>
    <cellStyle name="Percentuale 35 4 2 2" xfId="3082" xr:uid="{00000000-0005-0000-0000-0000111B0000}"/>
    <cellStyle name="Percentuale 35 4 3" xfId="3081" xr:uid="{00000000-0005-0000-0000-0000121B0000}"/>
    <cellStyle name="Percentuale 35 5" xfId="1708" xr:uid="{00000000-0005-0000-0000-0000131B0000}"/>
    <cellStyle name="Percentuale 36" xfId="1709" xr:uid="{00000000-0005-0000-0000-0000141B0000}"/>
    <cellStyle name="Percentuale 36 2" xfId="1710" xr:uid="{00000000-0005-0000-0000-0000151B0000}"/>
    <cellStyle name="Percentuale 36 2 2" xfId="3083" xr:uid="{00000000-0005-0000-0000-0000161B0000}"/>
    <cellStyle name="Percentuale 36 3" xfId="1711" xr:uid="{00000000-0005-0000-0000-0000171B0000}"/>
    <cellStyle name="Percentuale 36 3 2" xfId="1712" xr:uid="{00000000-0005-0000-0000-0000181B0000}"/>
    <cellStyle name="Percentuale 36 3 3" xfId="1713" xr:uid="{00000000-0005-0000-0000-0000191B0000}"/>
    <cellStyle name="Percentuale 36 3 3 2" xfId="3085" xr:uid="{00000000-0005-0000-0000-00001A1B0000}"/>
    <cellStyle name="Percentuale 36 3 4" xfId="3084" xr:uid="{00000000-0005-0000-0000-00001B1B0000}"/>
    <cellStyle name="Percentuale 36 4" xfId="1714" xr:uid="{00000000-0005-0000-0000-00001C1B0000}"/>
    <cellStyle name="Percentuale 36 4 2" xfId="1715" xr:uid="{00000000-0005-0000-0000-00001D1B0000}"/>
    <cellStyle name="Percentuale 36 4 2 2" xfId="3087" xr:uid="{00000000-0005-0000-0000-00001E1B0000}"/>
    <cellStyle name="Percentuale 36 4 3" xfId="3086" xr:uid="{00000000-0005-0000-0000-00001F1B0000}"/>
    <cellStyle name="Percentuale 36 5" xfId="1716" xr:uid="{00000000-0005-0000-0000-0000201B0000}"/>
    <cellStyle name="Percentuale 37" xfId="1717" xr:uid="{00000000-0005-0000-0000-0000211B0000}"/>
    <cellStyle name="Percentuale 37 2" xfId="1718" xr:uid="{00000000-0005-0000-0000-0000221B0000}"/>
    <cellStyle name="Percentuale 37 2 2" xfId="3088" xr:uid="{00000000-0005-0000-0000-0000231B0000}"/>
    <cellStyle name="Percentuale 37 3" xfId="1719" xr:uid="{00000000-0005-0000-0000-0000241B0000}"/>
    <cellStyle name="Percentuale 37 3 2" xfId="1720" xr:uid="{00000000-0005-0000-0000-0000251B0000}"/>
    <cellStyle name="Percentuale 37 3 3" xfId="1721" xr:uid="{00000000-0005-0000-0000-0000261B0000}"/>
    <cellStyle name="Percentuale 37 3 3 2" xfId="3090" xr:uid="{00000000-0005-0000-0000-0000271B0000}"/>
    <cellStyle name="Percentuale 37 3 4" xfId="3089" xr:uid="{00000000-0005-0000-0000-0000281B0000}"/>
    <cellStyle name="Percentuale 37 4" xfId="1722" xr:uid="{00000000-0005-0000-0000-0000291B0000}"/>
    <cellStyle name="Percentuale 37 4 2" xfId="1723" xr:uid="{00000000-0005-0000-0000-00002A1B0000}"/>
    <cellStyle name="Percentuale 37 4 2 2" xfId="3092" xr:uid="{00000000-0005-0000-0000-00002B1B0000}"/>
    <cellStyle name="Percentuale 37 4 3" xfId="3091" xr:uid="{00000000-0005-0000-0000-00002C1B0000}"/>
    <cellStyle name="Percentuale 37 5" xfId="1724" xr:uid="{00000000-0005-0000-0000-00002D1B0000}"/>
    <cellStyle name="Percentuale 38" xfId="1725" xr:uid="{00000000-0005-0000-0000-00002E1B0000}"/>
    <cellStyle name="Percentuale 38 2" xfId="1726" xr:uid="{00000000-0005-0000-0000-00002F1B0000}"/>
    <cellStyle name="Percentuale 38 2 2" xfId="3093" xr:uid="{00000000-0005-0000-0000-0000301B0000}"/>
    <cellStyle name="Percentuale 38 3" xfId="1727" xr:uid="{00000000-0005-0000-0000-0000311B0000}"/>
    <cellStyle name="Percentuale 38 3 2" xfId="1728" xr:uid="{00000000-0005-0000-0000-0000321B0000}"/>
    <cellStyle name="Percentuale 38 3 3" xfId="1729" xr:uid="{00000000-0005-0000-0000-0000331B0000}"/>
    <cellStyle name="Percentuale 38 3 3 2" xfId="3095" xr:uid="{00000000-0005-0000-0000-0000341B0000}"/>
    <cellStyle name="Percentuale 38 3 4" xfId="3094" xr:uid="{00000000-0005-0000-0000-0000351B0000}"/>
    <cellStyle name="Percentuale 38 4" xfId="1730" xr:uid="{00000000-0005-0000-0000-0000361B0000}"/>
    <cellStyle name="Percentuale 38 4 2" xfId="1731" xr:uid="{00000000-0005-0000-0000-0000371B0000}"/>
    <cellStyle name="Percentuale 38 4 2 2" xfId="3097" xr:uid="{00000000-0005-0000-0000-0000381B0000}"/>
    <cellStyle name="Percentuale 38 4 3" xfId="3096" xr:uid="{00000000-0005-0000-0000-0000391B0000}"/>
    <cellStyle name="Percentuale 38 5" xfId="1732" xr:uid="{00000000-0005-0000-0000-00003A1B0000}"/>
    <cellStyle name="Percentuale 39" xfId="1733" xr:uid="{00000000-0005-0000-0000-00003B1B0000}"/>
    <cellStyle name="Percentuale 39 2" xfId="1734" xr:uid="{00000000-0005-0000-0000-00003C1B0000}"/>
    <cellStyle name="Percentuale 39 2 2" xfId="3098" xr:uid="{00000000-0005-0000-0000-00003D1B0000}"/>
    <cellStyle name="Percentuale 39 3" xfId="1735" xr:uid="{00000000-0005-0000-0000-00003E1B0000}"/>
    <cellStyle name="Percentuale 39 3 2" xfId="1736" xr:uid="{00000000-0005-0000-0000-00003F1B0000}"/>
    <cellStyle name="Percentuale 39 3 3" xfId="1737" xr:uid="{00000000-0005-0000-0000-0000401B0000}"/>
    <cellStyle name="Percentuale 39 3 3 2" xfId="3100" xr:uid="{00000000-0005-0000-0000-0000411B0000}"/>
    <cellStyle name="Percentuale 39 3 4" xfId="3099" xr:uid="{00000000-0005-0000-0000-0000421B0000}"/>
    <cellStyle name="Percentuale 39 4" xfId="1738" xr:uid="{00000000-0005-0000-0000-0000431B0000}"/>
    <cellStyle name="Percentuale 39 4 2" xfId="1739" xr:uid="{00000000-0005-0000-0000-0000441B0000}"/>
    <cellStyle name="Percentuale 39 4 2 2" xfId="3102" xr:uid="{00000000-0005-0000-0000-0000451B0000}"/>
    <cellStyle name="Percentuale 39 4 3" xfId="3101" xr:uid="{00000000-0005-0000-0000-0000461B0000}"/>
    <cellStyle name="Percentuale 39 5" xfId="1740" xr:uid="{00000000-0005-0000-0000-0000471B0000}"/>
    <cellStyle name="Percentuale 4" xfId="1741" xr:uid="{00000000-0005-0000-0000-0000481B0000}"/>
    <cellStyle name="Percentuale 4 2" xfId="1742" xr:uid="{00000000-0005-0000-0000-0000491B0000}"/>
    <cellStyle name="Percentuale 4 2 2" xfId="3103" xr:uid="{00000000-0005-0000-0000-00004A1B0000}"/>
    <cellStyle name="Percentuale 4 3" xfId="1743" xr:uid="{00000000-0005-0000-0000-00004B1B0000}"/>
    <cellStyle name="Percentuale 4 3 2" xfId="1744" xr:uid="{00000000-0005-0000-0000-00004C1B0000}"/>
    <cellStyle name="Percentuale 4 3 3" xfId="1745" xr:uid="{00000000-0005-0000-0000-00004D1B0000}"/>
    <cellStyle name="Percentuale 4 3 3 2" xfId="3105" xr:uid="{00000000-0005-0000-0000-00004E1B0000}"/>
    <cellStyle name="Percentuale 4 3 4" xfId="3104" xr:uid="{00000000-0005-0000-0000-00004F1B0000}"/>
    <cellStyle name="Percentuale 4 4" xfId="1746" xr:uid="{00000000-0005-0000-0000-0000501B0000}"/>
    <cellStyle name="Percentuale 4 4 2" xfId="1747" xr:uid="{00000000-0005-0000-0000-0000511B0000}"/>
    <cellStyle name="Percentuale 4 4 2 2" xfId="3107" xr:uid="{00000000-0005-0000-0000-0000521B0000}"/>
    <cellStyle name="Percentuale 4 4 3" xfId="3106" xr:uid="{00000000-0005-0000-0000-0000531B0000}"/>
    <cellStyle name="Percentuale 4 5" xfId="1748" xr:uid="{00000000-0005-0000-0000-0000541B0000}"/>
    <cellStyle name="Percentuale 40" xfId="1749" xr:uid="{00000000-0005-0000-0000-0000551B0000}"/>
    <cellStyle name="Percentuale 40 2" xfId="1750" xr:uid="{00000000-0005-0000-0000-0000561B0000}"/>
    <cellStyle name="Percentuale 40 2 2" xfId="3108" xr:uid="{00000000-0005-0000-0000-0000571B0000}"/>
    <cellStyle name="Percentuale 40 3" xfId="1751" xr:uid="{00000000-0005-0000-0000-0000581B0000}"/>
    <cellStyle name="Percentuale 40 3 2" xfId="1752" xr:uid="{00000000-0005-0000-0000-0000591B0000}"/>
    <cellStyle name="Percentuale 40 3 3" xfId="1753" xr:uid="{00000000-0005-0000-0000-00005A1B0000}"/>
    <cellStyle name="Percentuale 40 3 3 2" xfId="3110" xr:uid="{00000000-0005-0000-0000-00005B1B0000}"/>
    <cellStyle name="Percentuale 40 3 4" xfId="3109" xr:uid="{00000000-0005-0000-0000-00005C1B0000}"/>
    <cellStyle name="Percentuale 40 4" xfId="1754" xr:uid="{00000000-0005-0000-0000-00005D1B0000}"/>
    <cellStyle name="Percentuale 40 4 2" xfId="1755" xr:uid="{00000000-0005-0000-0000-00005E1B0000}"/>
    <cellStyle name="Percentuale 40 4 2 2" xfId="3112" xr:uid="{00000000-0005-0000-0000-00005F1B0000}"/>
    <cellStyle name="Percentuale 40 4 3" xfId="3111" xr:uid="{00000000-0005-0000-0000-0000601B0000}"/>
    <cellStyle name="Percentuale 40 5" xfId="1756" xr:uid="{00000000-0005-0000-0000-0000611B0000}"/>
    <cellStyle name="Percentuale 41" xfId="1757" xr:uid="{00000000-0005-0000-0000-0000621B0000}"/>
    <cellStyle name="Percentuale 41 2" xfId="1758" xr:uid="{00000000-0005-0000-0000-0000631B0000}"/>
    <cellStyle name="Percentuale 41 2 2" xfId="3113" xr:uid="{00000000-0005-0000-0000-0000641B0000}"/>
    <cellStyle name="Percentuale 41 3" xfId="1759" xr:uid="{00000000-0005-0000-0000-0000651B0000}"/>
    <cellStyle name="Percentuale 41 3 2" xfId="1760" xr:uid="{00000000-0005-0000-0000-0000661B0000}"/>
    <cellStyle name="Percentuale 41 3 3" xfId="1761" xr:uid="{00000000-0005-0000-0000-0000671B0000}"/>
    <cellStyle name="Percentuale 41 3 3 2" xfId="3115" xr:uid="{00000000-0005-0000-0000-0000681B0000}"/>
    <cellStyle name="Percentuale 41 3 4" xfId="3114" xr:uid="{00000000-0005-0000-0000-0000691B0000}"/>
    <cellStyle name="Percentuale 41 4" xfId="1762" xr:uid="{00000000-0005-0000-0000-00006A1B0000}"/>
    <cellStyle name="Percentuale 41 4 2" xfId="1763" xr:uid="{00000000-0005-0000-0000-00006B1B0000}"/>
    <cellStyle name="Percentuale 41 4 2 2" xfId="3117" xr:uid="{00000000-0005-0000-0000-00006C1B0000}"/>
    <cellStyle name="Percentuale 41 4 3" xfId="3116" xr:uid="{00000000-0005-0000-0000-00006D1B0000}"/>
    <cellStyle name="Percentuale 41 5" xfId="1764" xr:uid="{00000000-0005-0000-0000-00006E1B0000}"/>
    <cellStyle name="Percentuale 42" xfId="1765" xr:uid="{00000000-0005-0000-0000-00006F1B0000}"/>
    <cellStyle name="Percentuale 42 2" xfId="1766" xr:uid="{00000000-0005-0000-0000-0000701B0000}"/>
    <cellStyle name="Percentuale 42 2 2" xfId="3118" xr:uid="{00000000-0005-0000-0000-0000711B0000}"/>
    <cellStyle name="Percentuale 42 3" xfId="1767" xr:uid="{00000000-0005-0000-0000-0000721B0000}"/>
    <cellStyle name="Percentuale 42 3 2" xfId="1768" xr:uid="{00000000-0005-0000-0000-0000731B0000}"/>
    <cellStyle name="Percentuale 42 3 3" xfId="1769" xr:uid="{00000000-0005-0000-0000-0000741B0000}"/>
    <cellStyle name="Percentuale 42 3 3 2" xfId="3120" xr:uid="{00000000-0005-0000-0000-0000751B0000}"/>
    <cellStyle name="Percentuale 42 3 4" xfId="3119" xr:uid="{00000000-0005-0000-0000-0000761B0000}"/>
    <cellStyle name="Percentuale 42 4" xfId="1770" xr:uid="{00000000-0005-0000-0000-0000771B0000}"/>
    <cellStyle name="Percentuale 42 4 2" xfId="1771" xr:uid="{00000000-0005-0000-0000-0000781B0000}"/>
    <cellStyle name="Percentuale 42 4 2 2" xfId="3122" xr:uid="{00000000-0005-0000-0000-0000791B0000}"/>
    <cellStyle name="Percentuale 42 4 3" xfId="3121" xr:uid="{00000000-0005-0000-0000-00007A1B0000}"/>
    <cellStyle name="Percentuale 42 5" xfId="1772" xr:uid="{00000000-0005-0000-0000-00007B1B0000}"/>
    <cellStyle name="Percentuale 43" xfId="1773" xr:uid="{00000000-0005-0000-0000-00007C1B0000}"/>
    <cellStyle name="Percentuale 43 2" xfId="1774" xr:uid="{00000000-0005-0000-0000-00007D1B0000}"/>
    <cellStyle name="Percentuale 43 2 2" xfId="3123" xr:uid="{00000000-0005-0000-0000-00007E1B0000}"/>
    <cellStyle name="Percentuale 43 3" xfId="1775" xr:uid="{00000000-0005-0000-0000-00007F1B0000}"/>
    <cellStyle name="Percentuale 43 3 2" xfId="1776" xr:uid="{00000000-0005-0000-0000-0000801B0000}"/>
    <cellStyle name="Percentuale 43 3 3" xfId="1777" xr:uid="{00000000-0005-0000-0000-0000811B0000}"/>
    <cellStyle name="Percentuale 43 3 3 2" xfId="3125" xr:uid="{00000000-0005-0000-0000-0000821B0000}"/>
    <cellStyle name="Percentuale 43 3 4" xfId="3124" xr:uid="{00000000-0005-0000-0000-0000831B0000}"/>
    <cellStyle name="Percentuale 43 4" xfId="1778" xr:uid="{00000000-0005-0000-0000-0000841B0000}"/>
    <cellStyle name="Percentuale 43 4 2" xfId="1779" xr:uid="{00000000-0005-0000-0000-0000851B0000}"/>
    <cellStyle name="Percentuale 43 4 2 2" xfId="3127" xr:uid="{00000000-0005-0000-0000-0000861B0000}"/>
    <cellStyle name="Percentuale 43 4 3" xfId="3126" xr:uid="{00000000-0005-0000-0000-0000871B0000}"/>
    <cellStyle name="Percentuale 43 5" xfId="1780" xr:uid="{00000000-0005-0000-0000-0000881B0000}"/>
    <cellStyle name="Percentuale 44" xfId="1781" xr:uid="{00000000-0005-0000-0000-0000891B0000}"/>
    <cellStyle name="Percentuale 44 2" xfId="1782" xr:uid="{00000000-0005-0000-0000-00008A1B0000}"/>
    <cellStyle name="Percentuale 44 2 2" xfId="3128" xr:uid="{00000000-0005-0000-0000-00008B1B0000}"/>
    <cellStyle name="Percentuale 44 3" xfId="1783" xr:uid="{00000000-0005-0000-0000-00008C1B0000}"/>
    <cellStyle name="Percentuale 44 3 2" xfId="1784" xr:uid="{00000000-0005-0000-0000-00008D1B0000}"/>
    <cellStyle name="Percentuale 44 3 3" xfId="1785" xr:uid="{00000000-0005-0000-0000-00008E1B0000}"/>
    <cellStyle name="Percentuale 44 3 3 2" xfId="3130" xr:uid="{00000000-0005-0000-0000-00008F1B0000}"/>
    <cellStyle name="Percentuale 44 3 4" xfId="3129" xr:uid="{00000000-0005-0000-0000-0000901B0000}"/>
    <cellStyle name="Percentuale 44 4" xfId="1786" xr:uid="{00000000-0005-0000-0000-0000911B0000}"/>
    <cellStyle name="Percentuale 44 4 2" xfId="1787" xr:uid="{00000000-0005-0000-0000-0000921B0000}"/>
    <cellStyle name="Percentuale 44 4 2 2" xfId="3132" xr:uid="{00000000-0005-0000-0000-0000931B0000}"/>
    <cellStyle name="Percentuale 44 4 3" xfId="3131" xr:uid="{00000000-0005-0000-0000-0000941B0000}"/>
    <cellStyle name="Percentuale 44 5" xfId="1788" xr:uid="{00000000-0005-0000-0000-0000951B0000}"/>
    <cellStyle name="Percentuale 45" xfId="1789" xr:uid="{00000000-0005-0000-0000-0000961B0000}"/>
    <cellStyle name="Percentuale 45 2" xfId="1790" xr:uid="{00000000-0005-0000-0000-0000971B0000}"/>
    <cellStyle name="Percentuale 45 2 2" xfId="3133" xr:uid="{00000000-0005-0000-0000-0000981B0000}"/>
    <cellStyle name="Percentuale 45 3" xfId="1791" xr:uid="{00000000-0005-0000-0000-0000991B0000}"/>
    <cellStyle name="Percentuale 45 3 2" xfId="1792" xr:uid="{00000000-0005-0000-0000-00009A1B0000}"/>
    <cellStyle name="Percentuale 45 3 3" xfId="1793" xr:uid="{00000000-0005-0000-0000-00009B1B0000}"/>
    <cellStyle name="Percentuale 45 3 3 2" xfId="3135" xr:uid="{00000000-0005-0000-0000-00009C1B0000}"/>
    <cellStyle name="Percentuale 45 3 4" xfId="3134" xr:uid="{00000000-0005-0000-0000-00009D1B0000}"/>
    <cellStyle name="Percentuale 45 4" xfId="1794" xr:uid="{00000000-0005-0000-0000-00009E1B0000}"/>
    <cellStyle name="Percentuale 45 4 2" xfId="1795" xr:uid="{00000000-0005-0000-0000-00009F1B0000}"/>
    <cellStyle name="Percentuale 45 4 2 2" xfId="3137" xr:uid="{00000000-0005-0000-0000-0000A01B0000}"/>
    <cellStyle name="Percentuale 45 4 3" xfId="3136" xr:uid="{00000000-0005-0000-0000-0000A11B0000}"/>
    <cellStyle name="Percentuale 45 5" xfId="1796" xr:uid="{00000000-0005-0000-0000-0000A21B0000}"/>
    <cellStyle name="Percentuale 46" xfId="1797" xr:uid="{00000000-0005-0000-0000-0000A31B0000}"/>
    <cellStyle name="Percentuale 46 2" xfId="1798" xr:uid="{00000000-0005-0000-0000-0000A41B0000}"/>
    <cellStyle name="Percentuale 46 2 2" xfId="3138" xr:uid="{00000000-0005-0000-0000-0000A51B0000}"/>
    <cellStyle name="Percentuale 46 3" xfId="1799" xr:uid="{00000000-0005-0000-0000-0000A61B0000}"/>
    <cellStyle name="Percentuale 46 3 2" xfId="1800" xr:uid="{00000000-0005-0000-0000-0000A71B0000}"/>
    <cellStyle name="Percentuale 46 3 3" xfId="1801" xr:uid="{00000000-0005-0000-0000-0000A81B0000}"/>
    <cellStyle name="Percentuale 46 3 3 2" xfId="3140" xr:uid="{00000000-0005-0000-0000-0000A91B0000}"/>
    <cellStyle name="Percentuale 46 3 4" xfId="3139" xr:uid="{00000000-0005-0000-0000-0000AA1B0000}"/>
    <cellStyle name="Percentuale 46 4" xfId="1802" xr:uid="{00000000-0005-0000-0000-0000AB1B0000}"/>
    <cellStyle name="Percentuale 46 4 2" xfId="1803" xr:uid="{00000000-0005-0000-0000-0000AC1B0000}"/>
    <cellStyle name="Percentuale 46 4 2 2" xfId="3142" xr:uid="{00000000-0005-0000-0000-0000AD1B0000}"/>
    <cellStyle name="Percentuale 46 4 3" xfId="3141" xr:uid="{00000000-0005-0000-0000-0000AE1B0000}"/>
    <cellStyle name="Percentuale 46 5" xfId="1804" xr:uid="{00000000-0005-0000-0000-0000AF1B0000}"/>
    <cellStyle name="Percentuale 47" xfId="1805" xr:uid="{00000000-0005-0000-0000-0000B01B0000}"/>
    <cellStyle name="Percentuale 47 2" xfId="1806" xr:uid="{00000000-0005-0000-0000-0000B11B0000}"/>
    <cellStyle name="Percentuale 47 2 2" xfId="3143" xr:uid="{00000000-0005-0000-0000-0000B21B0000}"/>
    <cellStyle name="Percentuale 47 3" xfId="1807" xr:uid="{00000000-0005-0000-0000-0000B31B0000}"/>
    <cellStyle name="Percentuale 47 3 2" xfId="1808" xr:uid="{00000000-0005-0000-0000-0000B41B0000}"/>
    <cellStyle name="Percentuale 47 3 3" xfId="1809" xr:uid="{00000000-0005-0000-0000-0000B51B0000}"/>
    <cellStyle name="Percentuale 47 3 3 2" xfId="3145" xr:uid="{00000000-0005-0000-0000-0000B61B0000}"/>
    <cellStyle name="Percentuale 47 3 4" xfId="3144" xr:uid="{00000000-0005-0000-0000-0000B71B0000}"/>
    <cellStyle name="Percentuale 47 4" xfId="1810" xr:uid="{00000000-0005-0000-0000-0000B81B0000}"/>
    <cellStyle name="Percentuale 47 4 2" xfId="1811" xr:uid="{00000000-0005-0000-0000-0000B91B0000}"/>
    <cellStyle name="Percentuale 47 4 2 2" xfId="3147" xr:uid="{00000000-0005-0000-0000-0000BA1B0000}"/>
    <cellStyle name="Percentuale 47 4 3" xfId="3146" xr:uid="{00000000-0005-0000-0000-0000BB1B0000}"/>
    <cellStyle name="Percentuale 47 5" xfId="1812" xr:uid="{00000000-0005-0000-0000-0000BC1B0000}"/>
    <cellStyle name="Percentuale 48" xfId="1813" xr:uid="{00000000-0005-0000-0000-0000BD1B0000}"/>
    <cellStyle name="Percentuale 48 2" xfId="1814" xr:uid="{00000000-0005-0000-0000-0000BE1B0000}"/>
    <cellStyle name="Percentuale 48 2 2" xfId="3148" xr:uid="{00000000-0005-0000-0000-0000BF1B0000}"/>
    <cellStyle name="Percentuale 48 3" xfId="1815" xr:uid="{00000000-0005-0000-0000-0000C01B0000}"/>
    <cellStyle name="Percentuale 48 3 2" xfId="1816" xr:uid="{00000000-0005-0000-0000-0000C11B0000}"/>
    <cellStyle name="Percentuale 48 3 3" xfId="1817" xr:uid="{00000000-0005-0000-0000-0000C21B0000}"/>
    <cellStyle name="Percentuale 48 3 3 2" xfId="3150" xr:uid="{00000000-0005-0000-0000-0000C31B0000}"/>
    <cellStyle name="Percentuale 48 3 4" xfId="3149" xr:uid="{00000000-0005-0000-0000-0000C41B0000}"/>
    <cellStyle name="Percentuale 48 4" xfId="1818" xr:uid="{00000000-0005-0000-0000-0000C51B0000}"/>
    <cellStyle name="Percentuale 48 4 2" xfId="1819" xr:uid="{00000000-0005-0000-0000-0000C61B0000}"/>
    <cellStyle name="Percentuale 48 4 2 2" xfId="3152" xr:uid="{00000000-0005-0000-0000-0000C71B0000}"/>
    <cellStyle name="Percentuale 48 4 3" xfId="3151" xr:uid="{00000000-0005-0000-0000-0000C81B0000}"/>
    <cellStyle name="Percentuale 48 5" xfId="1820" xr:uid="{00000000-0005-0000-0000-0000C91B0000}"/>
    <cellStyle name="Percentuale 49" xfId="1821" xr:uid="{00000000-0005-0000-0000-0000CA1B0000}"/>
    <cellStyle name="Percentuale 49 2" xfId="1822" xr:uid="{00000000-0005-0000-0000-0000CB1B0000}"/>
    <cellStyle name="Percentuale 49 2 2" xfId="3153" xr:uid="{00000000-0005-0000-0000-0000CC1B0000}"/>
    <cellStyle name="Percentuale 49 3" xfId="1823" xr:uid="{00000000-0005-0000-0000-0000CD1B0000}"/>
    <cellStyle name="Percentuale 49 3 2" xfId="1824" xr:uid="{00000000-0005-0000-0000-0000CE1B0000}"/>
    <cellStyle name="Percentuale 49 3 3" xfId="1825" xr:uid="{00000000-0005-0000-0000-0000CF1B0000}"/>
    <cellStyle name="Percentuale 49 3 3 2" xfId="3155" xr:uid="{00000000-0005-0000-0000-0000D01B0000}"/>
    <cellStyle name="Percentuale 49 3 4" xfId="3154" xr:uid="{00000000-0005-0000-0000-0000D11B0000}"/>
    <cellStyle name="Percentuale 49 4" xfId="1826" xr:uid="{00000000-0005-0000-0000-0000D21B0000}"/>
    <cellStyle name="Percentuale 49 4 2" xfId="1827" xr:uid="{00000000-0005-0000-0000-0000D31B0000}"/>
    <cellStyle name="Percentuale 49 4 2 2" xfId="3157" xr:uid="{00000000-0005-0000-0000-0000D41B0000}"/>
    <cellStyle name="Percentuale 49 4 3" xfId="3156" xr:uid="{00000000-0005-0000-0000-0000D51B0000}"/>
    <cellStyle name="Percentuale 49 5" xfId="1828" xr:uid="{00000000-0005-0000-0000-0000D61B0000}"/>
    <cellStyle name="Percentuale 5" xfId="1829" xr:uid="{00000000-0005-0000-0000-0000D71B0000}"/>
    <cellStyle name="Percentuale 5 2" xfId="1830" xr:uid="{00000000-0005-0000-0000-0000D81B0000}"/>
    <cellStyle name="Percentuale 5 2 2" xfId="3158" xr:uid="{00000000-0005-0000-0000-0000D91B0000}"/>
    <cellStyle name="Percentuale 5 3" xfId="1831" xr:uid="{00000000-0005-0000-0000-0000DA1B0000}"/>
    <cellStyle name="Percentuale 5 3 2" xfId="1832" xr:uid="{00000000-0005-0000-0000-0000DB1B0000}"/>
    <cellStyle name="Percentuale 5 3 3" xfId="1833" xr:uid="{00000000-0005-0000-0000-0000DC1B0000}"/>
    <cellStyle name="Percentuale 5 3 3 2" xfId="3160" xr:uid="{00000000-0005-0000-0000-0000DD1B0000}"/>
    <cellStyle name="Percentuale 5 3 4" xfId="3159" xr:uid="{00000000-0005-0000-0000-0000DE1B0000}"/>
    <cellStyle name="Percentuale 5 4" xfId="1834" xr:uid="{00000000-0005-0000-0000-0000DF1B0000}"/>
    <cellStyle name="Percentuale 5 4 2" xfId="1835" xr:uid="{00000000-0005-0000-0000-0000E01B0000}"/>
    <cellStyle name="Percentuale 5 4 2 2" xfId="3162" xr:uid="{00000000-0005-0000-0000-0000E11B0000}"/>
    <cellStyle name="Percentuale 5 4 3" xfId="3161" xr:uid="{00000000-0005-0000-0000-0000E21B0000}"/>
    <cellStyle name="Percentuale 5 5" xfId="1836" xr:uid="{00000000-0005-0000-0000-0000E31B0000}"/>
    <cellStyle name="Percentuale 50" xfId="1837" xr:uid="{00000000-0005-0000-0000-0000E41B0000}"/>
    <cellStyle name="Percentuale 50 2" xfId="1838" xr:uid="{00000000-0005-0000-0000-0000E51B0000}"/>
    <cellStyle name="Percentuale 50 2 2" xfId="3163" xr:uid="{00000000-0005-0000-0000-0000E61B0000}"/>
    <cellStyle name="Percentuale 50 3" xfId="1839" xr:uid="{00000000-0005-0000-0000-0000E71B0000}"/>
    <cellStyle name="Percentuale 50 3 2" xfId="1840" xr:uid="{00000000-0005-0000-0000-0000E81B0000}"/>
    <cellStyle name="Percentuale 50 3 3" xfId="1841" xr:uid="{00000000-0005-0000-0000-0000E91B0000}"/>
    <cellStyle name="Percentuale 50 3 3 2" xfId="3165" xr:uid="{00000000-0005-0000-0000-0000EA1B0000}"/>
    <cellStyle name="Percentuale 50 3 4" xfId="3164" xr:uid="{00000000-0005-0000-0000-0000EB1B0000}"/>
    <cellStyle name="Percentuale 50 4" xfId="1842" xr:uid="{00000000-0005-0000-0000-0000EC1B0000}"/>
    <cellStyle name="Percentuale 50 4 2" xfId="1843" xr:uid="{00000000-0005-0000-0000-0000ED1B0000}"/>
    <cellStyle name="Percentuale 50 4 2 2" xfId="3167" xr:uid="{00000000-0005-0000-0000-0000EE1B0000}"/>
    <cellStyle name="Percentuale 50 4 3" xfId="3166" xr:uid="{00000000-0005-0000-0000-0000EF1B0000}"/>
    <cellStyle name="Percentuale 50 5" xfId="1844" xr:uid="{00000000-0005-0000-0000-0000F01B0000}"/>
    <cellStyle name="Percentuale 51" xfId="1845" xr:uid="{00000000-0005-0000-0000-0000F11B0000}"/>
    <cellStyle name="Percentuale 51 2" xfId="1846" xr:uid="{00000000-0005-0000-0000-0000F21B0000}"/>
    <cellStyle name="Percentuale 51 2 2" xfId="3168" xr:uid="{00000000-0005-0000-0000-0000F31B0000}"/>
    <cellStyle name="Percentuale 51 3" xfId="1847" xr:uid="{00000000-0005-0000-0000-0000F41B0000}"/>
    <cellStyle name="Percentuale 51 3 2" xfId="1848" xr:uid="{00000000-0005-0000-0000-0000F51B0000}"/>
    <cellStyle name="Percentuale 51 3 3" xfId="1849" xr:uid="{00000000-0005-0000-0000-0000F61B0000}"/>
    <cellStyle name="Percentuale 51 3 3 2" xfId="3170" xr:uid="{00000000-0005-0000-0000-0000F71B0000}"/>
    <cellStyle name="Percentuale 51 3 4" xfId="3169" xr:uid="{00000000-0005-0000-0000-0000F81B0000}"/>
    <cellStyle name="Percentuale 51 4" xfId="1850" xr:uid="{00000000-0005-0000-0000-0000F91B0000}"/>
    <cellStyle name="Percentuale 51 4 2" xfId="1851" xr:uid="{00000000-0005-0000-0000-0000FA1B0000}"/>
    <cellStyle name="Percentuale 51 4 2 2" xfId="3172" xr:uid="{00000000-0005-0000-0000-0000FB1B0000}"/>
    <cellStyle name="Percentuale 51 4 3" xfId="3171" xr:uid="{00000000-0005-0000-0000-0000FC1B0000}"/>
    <cellStyle name="Percentuale 51 5" xfId="1852" xr:uid="{00000000-0005-0000-0000-0000FD1B0000}"/>
    <cellStyle name="Percentuale 52" xfId="1853" xr:uid="{00000000-0005-0000-0000-0000FE1B0000}"/>
    <cellStyle name="Percentuale 52 2" xfId="1854" xr:uid="{00000000-0005-0000-0000-0000FF1B0000}"/>
    <cellStyle name="Percentuale 52 2 2" xfId="3173" xr:uid="{00000000-0005-0000-0000-0000001C0000}"/>
    <cellStyle name="Percentuale 52 3" xfId="1855" xr:uid="{00000000-0005-0000-0000-0000011C0000}"/>
    <cellStyle name="Percentuale 52 3 2" xfId="1856" xr:uid="{00000000-0005-0000-0000-0000021C0000}"/>
    <cellStyle name="Percentuale 52 3 3" xfId="1857" xr:uid="{00000000-0005-0000-0000-0000031C0000}"/>
    <cellStyle name="Percentuale 52 3 3 2" xfId="3175" xr:uid="{00000000-0005-0000-0000-0000041C0000}"/>
    <cellStyle name="Percentuale 52 3 4" xfId="3174" xr:uid="{00000000-0005-0000-0000-0000051C0000}"/>
    <cellStyle name="Percentuale 52 4" xfId="1858" xr:uid="{00000000-0005-0000-0000-0000061C0000}"/>
    <cellStyle name="Percentuale 52 4 2" xfId="1859" xr:uid="{00000000-0005-0000-0000-0000071C0000}"/>
    <cellStyle name="Percentuale 52 4 2 2" xfId="3177" xr:uid="{00000000-0005-0000-0000-0000081C0000}"/>
    <cellStyle name="Percentuale 52 4 3" xfId="3176" xr:uid="{00000000-0005-0000-0000-0000091C0000}"/>
    <cellStyle name="Percentuale 52 5" xfId="1860" xr:uid="{00000000-0005-0000-0000-00000A1C0000}"/>
    <cellStyle name="Percentuale 53" xfId="1861" xr:uid="{00000000-0005-0000-0000-00000B1C0000}"/>
    <cellStyle name="Percentuale 53 2" xfId="1862" xr:uid="{00000000-0005-0000-0000-00000C1C0000}"/>
    <cellStyle name="Percentuale 53 2 2" xfId="3178" xr:uid="{00000000-0005-0000-0000-00000D1C0000}"/>
    <cellStyle name="Percentuale 53 3" xfId="1863" xr:uid="{00000000-0005-0000-0000-00000E1C0000}"/>
    <cellStyle name="Percentuale 53 3 2" xfId="1864" xr:uid="{00000000-0005-0000-0000-00000F1C0000}"/>
    <cellStyle name="Percentuale 53 3 3" xfId="1865" xr:uid="{00000000-0005-0000-0000-0000101C0000}"/>
    <cellStyle name="Percentuale 53 3 3 2" xfId="3180" xr:uid="{00000000-0005-0000-0000-0000111C0000}"/>
    <cellStyle name="Percentuale 53 3 4" xfId="3179" xr:uid="{00000000-0005-0000-0000-0000121C0000}"/>
    <cellStyle name="Percentuale 53 4" xfId="1866" xr:uid="{00000000-0005-0000-0000-0000131C0000}"/>
    <cellStyle name="Percentuale 53 4 2" xfId="1867" xr:uid="{00000000-0005-0000-0000-0000141C0000}"/>
    <cellStyle name="Percentuale 53 4 2 2" xfId="3182" xr:uid="{00000000-0005-0000-0000-0000151C0000}"/>
    <cellStyle name="Percentuale 53 4 3" xfId="3181" xr:uid="{00000000-0005-0000-0000-0000161C0000}"/>
    <cellStyle name="Percentuale 53 5" xfId="1868" xr:uid="{00000000-0005-0000-0000-0000171C0000}"/>
    <cellStyle name="Percentuale 54" xfId="1869" xr:uid="{00000000-0005-0000-0000-0000181C0000}"/>
    <cellStyle name="Percentuale 54 2" xfId="1870" xr:uid="{00000000-0005-0000-0000-0000191C0000}"/>
    <cellStyle name="Percentuale 54 2 2" xfId="3183" xr:uid="{00000000-0005-0000-0000-00001A1C0000}"/>
    <cellStyle name="Percentuale 54 3" xfId="1871" xr:uid="{00000000-0005-0000-0000-00001B1C0000}"/>
    <cellStyle name="Percentuale 54 3 2" xfId="1872" xr:uid="{00000000-0005-0000-0000-00001C1C0000}"/>
    <cellStyle name="Percentuale 54 3 3" xfId="1873" xr:uid="{00000000-0005-0000-0000-00001D1C0000}"/>
    <cellStyle name="Percentuale 54 3 3 2" xfId="3185" xr:uid="{00000000-0005-0000-0000-00001E1C0000}"/>
    <cellStyle name="Percentuale 54 3 4" xfId="3184" xr:uid="{00000000-0005-0000-0000-00001F1C0000}"/>
    <cellStyle name="Percentuale 54 4" xfId="1874" xr:uid="{00000000-0005-0000-0000-0000201C0000}"/>
    <cellStyle name="Percentuale 54 4 2" xfId="1875" xr:uid="{00000000-0005-0000-0000-0000211C0000}"/>
    <cellStyle name="Percentuale 54 4 2 2" xfId="3187" xr:uid="{00000000-0005-0000-0000-0000221C0000}"/>
    <cellStyle name="Percentuale 54 4 3" xfId="3186" xr:uid="{00000000-0005-0000-0000-0000231C0000}"/>
    <cellStyle name="Percentuale 54 5" xfId="1876" xr:uid="{00000000-0005-0000-0000-0000241C0000}"/>
    <cellStyle name="Percentuale 55" xfId="1877" xr:uid="{00000000-0005-0000-0000-0000251C0000}"/>
    <cellStyle name="Percentuale 55 2" xfId="1878" xr:uid="{00000000-0005-0000-0000-0000261C0000}"/>
    <cellStyle name="Percentuale 55 2 2" xfId="3188" xr:uid="{00000000-0005-0000-0000-0000271C0000}"/>
    <cellStyle name="Percentuale 55 3" xfId="1879" xr:uid="{00000000-0005-0000-0000-0000281C0000}"/>
    <cellStyle name="Percentuale 55 3 2" xfId="1880" xr:uid="{00000000-0005-0000-0000-0000291C0000}"/>
    <cellStyle name="Percentuale 55 3 3" xfId="1881" xr:uid="{00000000-0005-0000-0000-00002A1C0000}"/>
    <cellStyle name="Percentuale 55 3 3 2" xfId="3190" xr:uid="{00000000-0005-0000-0000-00002B1C0000}"/>
    <cellStyle name="Percentuale 55 3 4" xfId="3189" xr:uid="{00000000-0005-0000-0000-00002C1C0000}"/>
    <cellStyle name="Percentuale 55 4" xfId="1882" xr:uid="{00000000-0005-0000-0000-00002D1C0000}"/>
    <cellStyle name="Percentuale 55 4 2" xfId="1883" xr:uid="{00000000-0005-0000-0000-00002E1C0000}"/>
    <cellStyle name="Percentuale 55 4 2 2" xfId="3192" xr:uid="{00000000-0005-0000-0000-00002F1C0000}"/>
    <cellStyle name="Percentuale 55 4 3" xfId="3191" xr:uid="{00000000-0005-0000-0000-0000301C0000}"/>
    <cellStyle name="Percentuale 55 5" xfId="1884" xr:uid="{00000000-0005-0000-0000-0000311C0000}"/>
    <cellStyle name="Percentuale 56" xfId="1885" xr:uid="{00000000-0005-0000-0000-0000321C0000}"/>
    <cellStyle name="Percentuale 56 2" xfId="1886" xr:uid="{00000000-0005-0000-0000-0000331C0000}"/>
    <cellStyle name="Percentuale 56 2 2" xfId="3193" xr:uid="{00000000-0005-0000-0000-0000341C0000}"/>
    <cellStyle name="Percentuale 56 3" xfId="1887" xr:uid="{00000000-0005-0000-0000-0000351C0000}"/>
    <cellStyle name="Percentuale 56 3 2" xfId="1888" xr:uid="{00000000-0005-0000-0000-0000361C0000}"/>
    <cellStyle name="Percentuale 56 3 3" xfId="1889" xr:uid="{00000000-0005-0000-0000-0000371C0000}"/>
    <cellStyle name="Percentuale 56 3 3 2" xfId="3195" xr:uid="{00000000-0005-0000-0000-0000381C0000}"/>
    <cellStyle name="Percentuale 56 3 4" xfId="3194" xr:uid="{00000000-0005-0000-0000-0000391C0000}"/>
    <cellStyle name="Percentuale 56 4" xfId="1890" xr:uid="{00000000-0005-0000-0000-00003A1C0000}"/>
    <cellStyle name="Percentuale 56 4 2" xfId="1891" xr:uid="{00000000-0005-0000-0000-00003B1C0000}"/>
    <cellStyle name="Percentuale 56 4 2 2" xfId="3197" xr:uid="{00000000-0005-0000-0000-00003C1C0000}"/>
    <cellStyle name="Percentuale 56 4 3" xfId="3196" xr:uid="{00000000-0005-0000-0000-00003D1C0000}"/>
    <cellStyle name="Percentuale 56 5" xfId="1892" xr:uid="{00000000-0005-0000-0000-00003E1C0000}"/>
    <cellStyle name="Percentuale 57" xfId="1893" xr:uid="{00000000-0005-0000-0000-00003F1C0000}"/>
    <cellStyle name="Percentuale 57 2" xfId="1894" xr:uid="{00000000-0005-0000-0000-0000401C0000}"/>
    <cellStyle name="Percentuale 57 2 2" xfId="3198" xr:uid="{00000000-0005-0000-0000-0000411C0000}"/>
    <cellStyle name="Percentuale 57 3" xfId="1895" xr:uid="{00000000-0005-0000-0000-0000421C0000}"/>
    <cellStyle name="Percentuale 57 3 2" xfId="1896" xr:uid="{00000000-0005-0000-0000-0000431C0000}"/>
    <cellStyle name="Percentuale 57 3 3" xfId="1897" xr:uid="{00000000-0005-0000-0000-0000441C0000}"/>
    <cellStyle name="Percentuale 57 3 3 2" xfId="3200" xr:uid="{00000000-0005-0000-0000-0000451C0000}"/>
    <cellStyle name="Percentuale 57 3 4" xfId="3199" xr:uid="{00000000-0005-0000-0000-0000461C0000}"/>
    <cellStyle name="Percentuale 57 4" xfId="1898" xr:uid="{00000000-0005-0000-0000-0000471C0000}"/>
    <cellStyle name="Percentuale 57 4 2" xfId="1899" xr:uid="{00000000-0005-0000-0000-0000481C0000}"/>
    <cellStyle name="Percentuale 57 4 2 2" xfId="3202" xr:uid="{00000000-0005-0000-0000-0000491C0000}"/>
    <cellStyle name="Percentuale 57 4 3" xfId="3201" xr:uid="{00000000-0005-0000-0000-00004A1C0000}"/>
    <cellStyle name="Percentuale 57 5" xfId="1900" xr:uid="{00000000-0005-0000-0000-00004B1C0000}"/>
    <cellStyle name="Percentuale 58" xfId="1901" xr:uid="{00000000-0005-0000-0000-00004C1C0000}"/>
    <cellStyle name="Percentuale 58 2" xfId="1902" xr:uid="{00000000-0005-0000-0000-00004D1C0000}"/>
    <cellStyle name="Percentuale 58 2 2" xfId="3203" xr:uid="{00000000-0005-0000-0000-00004E1C0000}"/>
    <cellStyle name="Percentuale 58 3" xfId="1903" xr:uid="{00000000-0005-0000-0000-00004F1C0000}"/>
    <cellStyle name="Percentuale 58 3 2" xfId="1904" xr:uid="{00000000-0005-0000-0000-0000501C0000}"/>
    <cellStyle name="Percentuale 58 3 3" xfId="1905" xr:uid="{00000000-0005-0000-0000-0000511C0000}"/>
    <cellStyle name="Percentuale 58 3 3 2" xfId="3205" xr:uid="{00000000-0005-0000-0000-0000521C0000}"/>
    <cellStyle name="Percentuale 58 3 4" xfId="3204" xr:uid="{00000000-0005-0000-0000-0000531C0000}"/>
    <cellStyle name="Percentuale 58 4" xfId="1906" xr:uid="{00000000-0005-0000-0000-0000541C0000}"/>
    <cellStyle name="Percentuale 58 4 2" xfId="1907" xr:uid="{00000000-0005-0000-0000-0000551C0000}"/>
    <cellStyle name="Percentuale 58 4 2 2" xfId="3207" xr:uid="{00000000-0005-0000-0000-0000561C0000}"/>
    <cellStyle name="Percentuale 58 4 3" xfId="3206" xr:uid="{00000000-0005-0000-0000-0000571C0000}"/>
    <cellStyle name="Percentuale 58 5" xfId="1908" xr:uid="{00000000-0005-0000-0000-0000581C0000}"/>
    <cellStyle name="Percentuale 59" xfId="1909" xr:uid="{00000000-0005-0000-0000-0000591C0000}"/>
    <cellStyle name="Percentuale 59 2" xfId="1910" xr:uid="{00000000-0005-0000-0000-00005A1C0000}"/>
    <cellStyle name="Percentuale 59 2 2" xfId="3208" xr:uid="{00000000-0005-0000-0000-00005B1C0000}"/>
    <cellStyle name="Percentuale 59 3" xfId="1911" xr:uid="{00000000-0005-0000-0000-00005C1C0000}"/>
    <cellStyle name="Percentuale 59 3 2" xfId="1912" xr:uid="{00000000-0005-0000-0000-00005D1C0000}"/>
    <cellStyle name="Percentuale 59 3 3" xfId="1913" xr:uid="{00000000-0005-0000-0000-00005E1C0000}"/>
    <cellStyle name="Percentuale 59 3 3 2" xfId="3210" xr:uid="{00000000-0005-0000-0000-00005F1C0000}"/>
    <cellStyle name="Percentuale 59 3 4" xfId="3209" xr:uid="{00000000-0005-0000-0000-0000601C0000}"/>
    <cellStyle name="Percentuale 59 4" xfId="1914" xr:uid="{00000000-0005-0000-0000-0000611C0000}"/>
    <cellStyle name="Percentuale 59 4 2" xfId="1915" xr:uid="{00000000-0005-0000-0000-0000621C0000}"/>
    <cellStyle name="Percentuale 59 4 2 2" xfId="3212" xr:uid="{00000000-0005-0000-0000-0000631C0000}"/>
    <cellStyle name="Percentuale 59 4 3" xfId="3211" xr:uid="{00000000-0005-0000-0000-0000641C0000}"/>
    <cellStyle name="Percentuale 59 5" xfId="1916" xr:uid="{00000000-0005-0000-0000-0000651C0000}"/>
    <cellStyle name="Percentuale 6" xfId="1917" xr:uid="{00000000-0005-0000-0000-0000661C0000}"/>
    <cellStyle name="Percentuale 6 2" xfId="1918" xr:uid="{00000000-0005-0000-0000-0000671C0000}"/>
    <cellStyle name="Percentuale 6 2 2" xfId="3213" xr:uid="{00000000-0005-0000-0000-0000681C0000}"/>
    <cellStyle name="Percentuale 6 3" xfId="1919" xr:uid="{00000000-0005-0000-0000-0000691C0000}"/>
    <cellStyle name="Percentuale 6 3 2" xfId="1920" xr:uid="{00000000-0005-0000-0000-00006A1C0000}"/>
    <cellStyle name="Percentuale 6 3 3" xfId="1921" xr:uid="{00000000-0005-0000-0000-00006B1C0000}"/>
    <cellStyle name="Percentuale 6 3 3 2" xfId="3215" xr:uid="{00000000-0005-0000-0000-00006C1C0000}"/>
    <cellStyle name="Percentuale 6 3 4" xfId="3214" xr:uid="{00000000-0005-0000-0000-00006D1C0000}"/>
    <cellStyle name="Percentuale 6 4" xfId="1922" xr:uid="{00000000-0005-0000-0000-00006E1C0000}"/>
    <cellStyle name="Percentuale 6 4 2" xfId="1923" xr:uid="{00000000-0005-0000-0000-00006F1C0000}"/>
    <cellStyle name="Percentuale 6 4 2 2" xfId="3217" xr:uid="{00000000-0005-0000-0000-0000701C0000}"/>
    <cellStyle name="Percentuale 6 4 3" xfId="3216" xr:uid="{00000000-0005-0000-0000-0000711C0000}"/>
    <cellStyle name="Percentuale 6 5" xfId="1924" xr:uid="{00000000-0005-0000-0000-0000721C0000}"/>
    <cellStyle name="Percentuale 60" xfId="1925" xr:uid="{00000000-0005-0000-0000-0000731C0000}"/>
    <cellStyle name="Percentuale 60 2" xfId="1926" xr:uid="{00000000-0005-0000-0000-0000741C0000}"/>
    <cellStyle name="Percentuale 60 2 2" xfId="3218" xr:uid="{00000000-0005-0000-0000-0000751C0000}"/>
    <cellStyle name="Percentuale 60 3" xfId="1927" xr:uid="{00000000-0005-0000-0000-0000761C0000}"/>
    <cellStyle name="Percentuale 60 3 2" xfId="1928" xr:uid="{00000000-0005-0000-0000-0000771C0000}"/>
    <cellStyle name="Percentuale 60 3 3" xfId="1929" xr:uid="{00000000-0005-0000-0000-0000781C0000}"/>
    <cellStyle name="Percentuale 60 3 3 2" xfId="3220" xr:uid="{00000000-0005-0000-0000-0000791C0000}"/>
    <cellStyle name="Percentuale 60 3 4" xfId="3219" xr:uid="{00000000-0005-0000-0000-00007A1C0000}"/>
    <cellStyle name="Percentuale 60 4" xfId="1930" xr:uid="{00000000-0005-0000-0000-00007B1C0000}"/>
    <cellStyle name="Percentuale 60 4 2" xfId="1931" xr:uid="{00000000-0005-0000-0000-00007C1C0000}"/>
    <cellStyle name="Percentuale 60 4 2 2" xfId="3222" xr:uid="{00000000-0005-0000-0000-00007D1C0000}"/>
    <cellStyle name="Percentuale 60 4 3" xfId="3221" xr:uid="{00000000-0005-0000-0000-00007E1C0000}"/>
    <cellStyle name="Percentuale 60 5" xfId="1932" xr:uid="{00000000-0005-0000-0000-00007F1C0000}"/>
    <cellStyle name="Percentuale 61" xfId="1933" xr:uid="{00000000-0005-0000-0000-0000801C0000}"/>
    <cellStyle name="Percentuale 61 2" xfId="1934" xr:uid="{00000000-0005-0000-0000-0000811C0000}"/>
    <cellStyle name="Percentuale 61 2 2" xfId="3223" xr:uid="{00000000-0005-0000-0000-0000821C0000}"/>
    <cellStyle name="Percentuale 61 3" xfId="1935" xr:uid="{00000000-0005-0000-0000-0000831C0000}"/>
    <cellStyle name="Percentuale 61 3 2" xfId="1936" xr:uid="{00000000-0005-0000-0000-0000841C0000}"/>
    <cellStyle name="Percentuale 61 3 3" xfId="1937" xr:uid="{00000000-0005-0000-0000-0000851C0000}"/>
    <cellStyle name="Percentuale 61 3 3 2" xfId="3225" xr:uid="{00000000-0005-0000-0000-0000861C0000}"/>
    <cellStyle name="Percentuale 61 3 4" xfId="3224" xr:uid="{00000000-0005-0000-0000-0000871C0000}"/>
    <cellStyle name="Percentuale 61 4" xfId="1938" xr:uid="{00000000-0005-0000-0000-0000881C0000}"/>
    <cellStyle name="Percentuale 61 4 2" xfId="1939" xr:uid="{00000000-0005-0000-0000-0000891C0000}"/>
    <cellStyle name="Percentuale 61 4 2 2" xfId="3227" xr:uid="{00000000-0005-0000-0000-00008A1C0000}"/>
    <cellStyle name="Percentuale 61 4 3" xfId="3226" xr:uid="{00000000-0005-0000-0000-00008B1C0000}"/>
    <cellStyle name="Percentuale 61 5" xfId="1940" xr:uid="{00000000-0005-0000-0000-00008C1C0000}"/>
    <cellStyle name="Percentuale 62" xfId="1941" xr:uid="{00000000-0005-0000-0000-00008D1C0000}"/>
    <cellStyle name="Percentuale 62 2" xfId="3228" xr:uid="{00000000-0005-0000-0000-00008E1C0000}"/>
    <cellStyle name="Percentuale 63" xfId="1942" xr:uid="{00000000-0005-0000-0000-00008F1C0000}"/>
    <cellStyle name="Percentuale 63 2" xfId="3229" xr:uid="{00000000-0005-0000-0000-0000901C0000}"/>
    <cellStyle name="Percentuale 64" xfId="1943" xr:uid="{00000000-0005-0000-0000-0000911C0000}"/>
    <cellStyle name="Percentuale 64 2" xfId="3230" xr:uid="{00000000-0005-0000-0000-0000921C0000}"/>
    <cellStyle name="Percentuale 65" xfId="1944" xr:uid="{00000000-0005-0000-0000-0000931C0000}"/>
    <cellStyle name="Percentuale 65 2" xfId="3231" xr:uid="{00000000-0005-0000-0000-0000941C0000}"/>
    <cellStyle name="Percentuale 66" xfId="1945" xr:uid="{00000000-0005-0000-0000-0000951C0000}"/>
    <cellStyle name="Percentuale 66 2" xfId="3232" xr:uid="{00000000-0005-0000-0000-0000961C0000}"/>
    <cellStyle name="Percentuale 67" xfId="1946" xr:uid="{00000000-0005-0000-0000-0000971C0000}"/>
    <cellStyle name="Percentuale 67 2" xfId="3233" xr:uid="{00000000-0005-0000-0000-0000981C0000}"/>
    <cellStyle name="Percentuale 68" xfId="1947" xr:uid="{00000000-0005-0000-0000-0000991C0000}"/>
    <cellStyle name="Percentuale 68 2" xfId="1948" xr:uid="{00000000-0005-0000-0000-00009A1C0000}"/>
    <cellStyle name="Percentuale 68 2 2" xfId="3234" xr:uid="{00000000-0005-0000-0000-00009B1C0000}"/>
    <cellStyle name="Percentuale 68 3" xfId="1949" xr:uid="{00000000-0005-0000-0000-00009C1C0000}"/>
    <cellStyle name="Percentuale 68 3 2" xfId="1950" xr:uid="{00000000-0005-0000-0000-00009D1C0000}"/>
    <cellStyle name="Percentuale 68 3 3" xfId="1951" xr:uid="{00000000-0005-0000-0000-00009E1C0000}"/>
    <cellStyle name="Percentuale 68 3 3 2" xfId="3236" xr:uid="{00000000-0005-0000-0000-00009F1C0000}"/>
    <cellStyle name="Percentuale 68 3 4" xfId="3235" xr:uid="{00000000-0005-0000-0000-0000A01C0000}"/>
    <cellStyle name="Percentuale 68 4" xfId="1952" xr:uid="{00000000-0005-0000-0000-0000A11C0000}"/>
    <cellStyle name="Percentuale 68 4 2" xfId="1953" xr:uid="{00000000-0005-0000-0000-0000A21C0000}"/>
    <cellStyle name="Percentuale 68 4 2 2" xfId="3238" xr:uid="{00000000-0005-0000-0000-0000A31C0000}"/>
    <cellStyle name="Percentuale 68 4 3" xfId="3237" xr:uid="{00000000-0005-0000-0000-0000A41C0000}"/>
    <cellStyle name="Percentuale 68 5" xfId="1954" xr:uid="{00000000-0005-0000-0000-0000A51C0000}"/>
    <cellStyle name="Percentuale 69" xfId="1955" xr:uid="{00000000-0005-0000-0000-0000A61C0000}"/>
    <cellStyle name="Percentuale 69 2" xfId="1956" xr:uid="{00000000-0005-0000-0000-0000A71C0000}"/>
    <cellStyle name="Percentuale 69 2 2" xfId="3239" xr:uid="{00000000-0005-0000-0000-0000A81C0000}"/>
    <cellStyle name="Percentuale 69 3" xfId="1957" xr:uid="{00000000-0005-0000-0000-0000A91C0000}"/>
    <cellStyle name="Percentuale 69 3 2" xfId="1958" xr:uid="{00000000-0005-0000-0000-0000AA1C0000}"/>
    <cellStyle name="Percentuale 69 3 3" xfId="1959" xr:uid="{00000000-0005-0000-0000-0000AB1C0000}"/>
    <cellStyle name="Percentuale 69 3 3 2" xfId="3241" xr:uid="{00000000-0005-0000-0000-0000AC1C0000}"/>
    <cellStyle name="Percentuale 69 3 4" xfId="3240" xr:uid="{00000000-0005-0000-0000-0000AD1C0000}"/>
    <cellStyle name="Percentuale 69 4" xfId="1960" xr:uid="{00000000-0005-0000-0000-0000AE1C0000}"/>
    <cellStyle name="Percentuale 69 4 2" xfId="1961" xr:uid="{00000000-0005-0000-0000-0000AF1C0000}"/>
    <cellStyle name="Percentuale 69 4 2 2" xfId="3243" xr:uid="{00000000-0005-0000-0000-0000B01C0000}"/>
    <cellStyle name="Percentuale 69 4 3" xfId="3242" xr:uid="{00000000-0005-0000-0000-0000B11C0000}"/>
    <cellStyle name="Percentuale 69 5" xfId="1962" xr:uid="{00000000-0005-0000-0000-0000B21C0000}"/>
    <cellStyle name="Percentuale 7" xfId="1963" xr:uid="{00000000-0005-0000-0000-0000B31C0000}"/>
    <cellStyle name="Percentuale 7 2" xfId="1964" xr:uid="{00000000-0005-0000-0000-0000B41C0000}"/>
    <cellStyle name="Percentuale 7 2 2" xfId="3244" xr:uid="{00000000-0005-0000-0000-0000B51C0000}"/>
    <cellStyle name="Percentuale 7 3" xfId="1965" xr:uid="{00000000-0005-0000-0000-0000B61C0000}"/>
    <cellStyle name="Percentuale 7 3 2" xfId="1966" xr:uid="{00000000-0005-0000-0000-0000B71C0000}"/>
    <cellStyle name="Percentuale 7 3 3" xfId="1967" xr:uid="{00000000-0005-0000-0000-0000B81C0000}"/>
    <cellStyle name="Percentuale 7 3 3 2" xfId="3246" xr:uid="{00000000-0005-0000-0000-0000B91C0000}"/>
    <cellStyle name="Percentuale 7 3 4" xfId="3245" xr:uid="{00000000-0005-0000-0000-0000BA1C0000}"/>
    <cellStyle name="Percentuale 7 4" xfId="1968" xr:uid="{00000000-0005-0000-0000-0000BB1C0000}"/>
    <cellStyle name="Percentuale 7 4 2" xfId="1969" xr:uid="{00000000-0005-0000-0000-0000BC1C0000}"/>
    <cellStyle name="Percentuale 7 4 2 2" xfId="3248" xr:uid="{00000000-0005-0000-0000-0000BD1C0000}"/>
    <cellStyle name="Percentuale 7 4 3" xfId="3247" xr:uid="{00000000-0005-0000-0000-0000BE1C0000}"/>
    <cellStyle name="Percentuale 7 5" xfId="1970" xr:uid="{00000000-0005-0000-0000-0000BF1C0000}"/>
    <cellStyle name="Percentuale 8" xfId="1971" xr:uid="{00000000-0005-0000-0000-0000C01C0000}"/>
    <cellStyle name="Percentuale 8 2" xfId="1972" xr:uid="{00000000-0005-0000-0000-0000C11C0000}"/>
    <cellStyle name="Percentuale 8 2 2" xfId="3249" xr:uid="{00000000-0005-0000-0000-0000C21C0000}"/>
    <cellStyle name="Percentuale 8 3" xfId="1973" xr:uid="{00000000-0005-0000-0000-0000C31C0000}"/>
    <cellStyle name="Percentuale 8 3 2" xfId="1974" xr:uid="{00000000-0005-0000-0000-0000C41C0000}"/>
    <cellStyle name="Percentuale 8 3 3" xfId="1975" xr:uid="{00000000-0005-0000-0000-0000C51C0000}"/>
    <cellStyle name="Percentuale 8 3 3 2" xfId="3251" xr:uid="{00000000-0005-0000-0000-0000C61C0000}"/>
    <cellStyle name="Percentuale 8 3 4" xfId="3250" xr:uid="{00000000-0005-0000-0000-0000C71C0000}"/>
    <cellStyle name="Percentuale 8 4" xfId="1976" xr:uid="{00000000-0005-0000-0000-0000C81C0000}"/>
    <cellStyle name="Percentuale 8 4 2" xfId="1977" xr:uid="{00000000-0005-0000-0000-0000C91C0000}"/>
    <cellStyle name="Percentuale 8 4 2 2" xfId="3253" xr:uid="{00000000-0005-0000-0000-0000CA1C0000}"/>
    <cellStyle name="Percentuale 8 4 3" xfId="3252" xr:uid="{00000000-0005-0000-0000-0000CB1C0000}"/>
    <cellStyle name="Percentuale 8 5" xfId="1978" xr:uid="{00000000-0005-0000-0000-0000CC1C0000}"/>
    <cellStyle name="Percentuale 9" xfId="1979" xr:uid="{00000000-0005-0000-0000-0000CD1C0000}"/>
    <cellStyle name="Percentuale 9 2" xfId="1980" xr:uid="{00000000-0005-0000-0000-0000CE1C0000}"/>
    <cellStyle name="Percentuale 9 2 2" xfId="3254" xr:uid="{00000000-0005-0000-0000-0000CF1C0000}"/>
    <cellStyle name="Percentuale 9 3" xfId="1981" xr:uid="{00000000-0005-0000-0000-0000D01C0000}"/>
    <cellStyle name="Percentuale 9 3 2" xfId="1982" xr:uid="{00000000-0005-0000-0000-0000D11C0000}"/>
    <cellStyle name="Percentuale 9 3 3" xfId="1983" xr:uid="{00000000-0005-0000-0000-0000D21C0000}"/>
    <cellStyle name="Percentuale 9 3 3 2" xfId="3256" xr:uid="{00000000-0005-0000-0000-0000D31C0000}"/>
    <cellStyle name="Percentuale 9 3 4" xfId="3255" xr:uid="{00000000-0005-0000-0000-0000D41C0000}"/>
    <cellStyle name="Percentuale 9 4" xfId="1984" xr:uid="{00000000-0005-0000-0000-0000D51C0000}"/>
    <cellStyle name="Percentuale 9 4 2" xfId="1985" xr:uid="{00000000-0005-0000-0000-0000D61C0000}"/>
    <cellStyle name="Percentuale 9 4 2 2" xfId="3258" xr:uid="{00000000-0005-0000-0000-0000D71C0000}"/>
    <cellStyle name="Percentuale 9 4 3" xfId="3257" xr:uid="{00000000-0005-0000-0000-0000D81C0000}"/>
    <cellStyle name="Percentuale 9 5" xfId="1986" xr:uid="{00000000-0005-0000-0000-0000D91C0000}"/>
    <cellStyle name="Procent 10" xfId="4001" xr:uid="{00000000-0005-0000-0000-0000DA1C0000}"/>
    <cellStyle name="Procent 10 2" xfId="4002" xr:uid="{00000000-0005-0000-0000-0000DB1C0000}"/>
    <cellStyle name="Procent 10 2 2" xfId="4626" xr:uid="{00000000-0005-0000-0000-0000DC1C0000}"/>
    <cellStyle name="Procent 10 2 2 2" xfId="7794" xr:uid="{00000000-0005-0000-0000-0000DD1C0000}"/>
    <cellStyle name="Procent 10 2 3" xfId="7170" xr:uid="{00000000-0005-0000-0000-0000DE1C0000}"/>
    <cellStyle name="Procent 10 3" xfId="4003" xr:uid="{00000000-0005-0000-0000-0000DF1C0000}"/>
    <cellStyle name="Procent 10 3 2" xfId="4627" xr:uid="{00000000-0005-0000-0000-0000E01C0000}"/>
    <cellStyle name="Procent 10 3 2 2" xfId="7795" xr:uid="{00000000-0005-0000-0000-0000E11C0000}"/>
    <cellStyle name="Procent 10 3 3" xfId="7171" xr:uid="{00000000-0005-0000-0000-0000E21C0000}"/>
    <cellStyle name="Procent 10 4" xfId="4004" xr:uid="{00000000-0005-0000-0000-0000E31C0000}"/>
    <cellStyle name="Procent 10 4 2" xfId="4628" xr:uid="{00000000-0005-0000-0000-0000E41C0000}"/>
    <cellStyle name="Procent 10 4 2 2" xfId="7796" xr:uid="{00000000-0005-0000-0000-0000E51C0000}"/>
    <cellStyle name="Procent 10 4 3" xfId="7172" xr:uid="{00000000-0005-0000-0000-0000E61C0000}"/>
    <cellStyle name="Procent 10 5" xfId="4625" xr:uid="{00000000-0005-0000-0000-0000E71C0000}"/>
    <cellStyle name="Procent 10 5 2" xfId="7793" xr:uid="{00000000-0005-0000-0000-0000E81C0000}"/>
    <cellStyle name="Procent 10 6" xfId="7169" xr:uid="{00000000-0005-0000-0000-0000E91C0000}"/>
    <cellStyle name="Procent 11" xfId="4005" xr:uid="{00000000-0005-0000-0000-0000EA1C0000}"/>
    <cellStyle name="Procent 11 2" xfId="4629" xr:uid="{00000000-0005-0000-0000-0000EB1C0000}"/>
    <cellStyle name="Procent 11 2 2" xfId="7797" xr:uid="{00000000-0005-0000-0000-0000EC1C0000}"/>
    <cellStyle name="Procent 11 3" xfId="7173" xr:uid="{00000000-0005-0000-0000-0000ED1C0000}"/>
    <cellStyle name="Procent 12" xfId="3514" xr:uid="{00000000-0005-0000-0000-0000EE1C0000}"/>
    <cellStyle name="Procent 12 2" xfId="4155" xr:uid="{00000000-0005-0000-0000-0000EF1C0000}"/>
    <cellStyle name="Procent 12 2 2" xfId="7323" xr:uid="{00000000-0005-0000-0000-0000F01C0000}"/>
    <cellStyle name="Procent 12 3" xfId="6712" xr:uid="{00000000-0005-0000-0000-0000F11C0000}"/>
    <cellStyle name="Procent 13" xfId="4730" xr:uid="{00000000-0005-0000-0000-0000F21C0000}"/>
    <cellStyle name="Procent 2" xfId="1987" xr:uid="{00000000-0005-0000-0000-0000F31C0000}"/>
    <cellStyle name="Procent 2 10" xfId="4006" xr:uid="{00000000-0005-0000-0000-0000F41C0000}"/>
    <cellStyle name="Procent 2 10 2" xfId="4007" xr:uid="{00000000-0005-0000-0000-0000F51C0000}"/>
    <cellStyle name="Procent 2 10 2 2" xfId="4631" xr:uid="{00000000-0005-0000-0000-0000F61C0000}"/>
    <cellStyle name="Procent 2 10 2 2 2" xfId="7799" xr:uid="{00000000-0005-0000-0000-0000F71C0000}"/>
    <cellStyle name="Procent 2 10 2 3" xfId="7175" xr:uid="{00000000-0005-0000-0000-0000F81C0000}"/>
    <cellStyle name="Procent 2 10 3" xfId="4630" xr:uid="{00000000-0005-0000-0000-0000F91C0000}"/>
    <cellStyle name="Procent 2 10 3 2" xfId="7798" xr:uid="{00000000-0005-0000-0000-0000FA1C0000}"/>
    <cellStyle name="Procent 2 10 4" xfId="7174" xr:uid="{00000000-0005-0000-0000-0000FB1C0000}"/>
    <cellStyle name="Procent 2 11" xfId="4008" xr:uid="{00000000-0005-0000-0000-0000FC1C0000}"/>
    <cellStyle name="Procent 2 11 2" xfId="4632" xr:uid="{00000000-0005-0000-0000-0000FD1C0000}"/>
    <cellStyle name="Procent 2 11 2 2" xfId="7800" xr:uid="{00000000-0005-0000-0000-0000FE1C0000}"/>
    <cellStyle name="Procent 2 11 3" xfId="7176" xr:uid="{00000000-0005-0000-0000-0000FF1C0000}"/>
    <cellStyle name="Procent 2 12" xfId="4009" xr:uid="{00000000-0005-0000-0000-0000001D0000}"/>
    <cellStyle name="Procent 2 12 2" xfId="4633" xr:uid="{00000000-0005-0000-0000-0000011D0000}"/>
    <cellStyle name="Procent 2 12 2 2" xfId="7801" xr:uid="{00000000-0005-0000-0000-0000021D0000}"/>
    <cellStyle name="Procent 2 12 3" xfId="7177" xr:uid="{00000000-0005-0000-0000-0000031D0000}"/>
    <cellStyle name="Procent 2 13" xfId="4010" xr:uid="{00000000-0005-0000-0000-0000041D0000}"/>
    <cellStyle name="Procent 2 13 2" xfId="4634" xr:uid="{00000000-0005-0000-0000-0000051D0000}"/>
    <cellStyle name="Procent 2 13 2 2" xfId="7802" xr:uid="{00000000-0005-0000-0000-0000061D0000}"/>
    <cellStyle name="Procent 2 13 3" xfId="7178" xr:uid="{00000000-0005-0000-0000-0000071D0000}"/>
    <cellStyle name="Procent 2 14" xfId="3511" xr:uid="{00000000-0005-0000-0000-0000081D0000}"/>
    <cellStyle name="Procent 2 14 2" xfId="4152" xr:uid="{00000000-0005-0000-0000-0000091D0000}"/>
    <cellStyle name="Procent 2 14 2 2" xfId="7320" xr:uid="{00000000-0005-0000-0000-00000A1D0000}"/>
    <cellStyle name="Procent 2 14 3" xfId="6709" xr:uid="{00000000-0005-0000-0000-00000B1D0000}"/>
    <cellStyle name="Procent 2 15" xfId="4109" xr:uid="{00000000-0005-0000-0000-00000C1D0000}"/>
    <cellStyle name="Procent 2 15 2" xfId="7277" xr:uid="{00000000-0005-0000-0000-00000D1D0000}"/>
    <cellStyle name="Procent 2 16" xfId="3452" xr:uid="{00000000-0005-0000-0000-00000E1D0000}"/>
    <cellStyle name="Procent 2 16 2" xfId="6666" xr:uid="{00000000-0005-0000-0000-00000F1D0000}"/>
    <cellStyle name="Procent 2 2" xfId="3259" xr:uid="{00000000-0005-0000-0000-0000101D0000}"/>
    <cellStyle name="Procent 2 2 2" xfId="3482" xr:uid="{00000000-0005-0000-0000-0000111D0000}"/>
    <cellStyle name="Procent 2 2 2 2" xfId="4013" xr:uid="{00000000-0005-0000-0000-0000121D0000}"/>
    <cellStyle name="Procent 2 2 2 2 2" xfId="4637" xr:uid="{00000000-0005-0000-0000-0000131D0000}"/>
    <cellStyle name="Procent 2 2 2 2 2 2" xfId="7805" xr:uid="{00000000-0005-0000-0000-0000141D0000}"/>
    <cellStyle name="Procent 2 2 2 2 3" xfId="7181" xr:uid="{00000000-0005-0000-0000-0000151D0000}"/>
    <cellStyle name="Procent 2 2 2 3" xfId="4014" xr:uid="{00000000-0005-0000-0000-0000161D0000}"/>
    <cellStyle name="Procent 2 2 2 3 2" xfId="4638" xr:uid="{00000000-0005-0000-0000-0000171D0000}"/>
    <cellStyle name="Procent 2 2 2 3 2 2" xfId="7806" xr:uid="{00000000-0005-0000-0000-0000181D0000}"/>
    <cellStyle name="Procent 2 2 2 3 3" xfId="7182" xr:uid="{00000000-0005-0000-0000-0000191D0000}"/>
    <cellStyle name="Procent 2 2 2 4" xfId="4015" xr:uid="{00000000-0005-0000-0000-00001A1D0000}"/>
    <cellStyle name="Procent 2 2 2 4 2" xfId="4639" xr:uid="{00000000-0005-0000-0000-00001B1D0000}"/>
    <cellStyle name="Procent 2 2 2 4 2 2" xfId="7807" xr:uid="{00000000-0005-0000-0000-00001C1D0000}"/>
    <cellStyle name="Procent 2 2 2 4 3" xfId="7183" xr:uid="{00000000-0005-0000-0000-00001D1D0000}"/>
    <cellStyle name="Procent 2 2 2 5" xfId="4012" xr:uid="{00000000-0005-0000-0000-00001E1D0000}"/>
    <cellStyle name="Procent 2 2 2 5 2" xfId="4636" xr:uid="{00000000-0005-0000-0000-00001F1D0000}"/>
    <cellStyle name="Procent 2 2 2 5 2 2" xfId="7804" xr:uid="{00000000-0005-0000-0000-0000201D0000}"/>
    <cellStyle name="Procent 2 2 2 5 3" xfId="7180" xr:uid="{00000000-0005-0000-0000-0000211D0000}"/>
    <cellStyle name="Procent 2 2 2 6" xfId="4133" xr:uid="{00000000-0005-0000-0000-0000221D0000}"/>
    <cellStyle name="Procent 2 2 2 6 2" xfId="7301" xr:uid="{00000000-0005-0000-0000-0000231D0000}"/>
    <cellStyle name="Procent 2 2 2 7" xfId="6690" xr:uid="{00000000-0005-0000-0000-0000241D0000}"/>
    <cellStyle name="Procent 2 2 3" xfId="3498" xr:uid="{00000000-0005-0000-0000-0000251D0000}"/>
    <cellStyle name="Procent 2 2 3 2" xfId="4016" xr:uid="{00000000-0005-0000-0000-0000261D0000}"/>
    <cellStyle name="Procent 2 2 3 2 2" xfId="4640" xr:uid="{00000000-0005-0000-0000-0000271D0000}"/>
    <cellStyle name="Procent 2 2 3 2 2 2" xfId="7808" xr:uid="{00000000-0005-0000-0000-0000281D0000}"/>
    <cellStyle name="Procent 2 2 3 2 3" xfId="7184" xr:uid="{00000000-0005-0000-0000-0000291D0000}"/>
    <cellStyle name="Procent 2 2 3 3" xfId="4149" xr:uid="{00000000-0005-0000-0000-00002A1D0000}"/>
    <cellStyle name="Procent 2 2 3 3 2" xfId="7317" xr:uid="{00000000-0005-0000-0000-00002B1D0000}"/>
    <cellStyle name="Procent 2 2 3 4" xfId="6706" xr:uid="{00000000-0005-0000-0000-00002C1D0000}"/>
    <cellStyle name="Procent 2 2 4" xfId="4017" xr:uid="{00000000-0005-0000-0000-00002D1D0000}"/>
    <cellStyle name="Procent 2 2 4 2" xfId="4641" xr:uid="{00000000-0005-0000-0000-00002E1D0000}"/>
    <cellStyle name="Procent 2 2 4 2 2" xfId="7809" xr:uid="{00000000-0005-0000-0000-00002F1D0000}"/>
    <cellStyle name="Procent 2 2 4 3" xfId="7185" xr:uid="{00000000-0005-0000-0000-0000301D0000}"/>
    <cellStyle name="Procent 2 2 5" xfId="4018" xr:uid="{00000000-0005-0000-0000-0000311D0000}"/>
    <cellStyle name="Procent 2 2 5 2" xfId="4642" xr:uid="{00000000-0005-0000-0000-0000321D0000}"/>
    <cellStyle name="Procent 2 2 5 2 2" xfId="7810" xr:uid="{00000000-0005-0000-0000-0000331D0000}"/>
    <cellStyle name="Procent 2 2 5 3" xfId="7186" xr:uid="{00000000-0005-0000-0000-0000341D0000}"/>
    <cellStyle name="Procent 2 2 6" xfId="4019" xr:uid="{00000000-0005-0000-0000-0000351D0000}"/>
    <cellStyle name="Procent 2 2 6 2" xfId="4643" xr:uid="{00000000-0005-0000-0000-0000361D0000}"/>
    <cellStyle name="Procent 2 2 6 2 2" xfId="7811" xr:uid="{00000000-0005-0000-0000-0000371D0000}"/>
    <cellStyle name="Procent 2 2 6 3" xfId="7187" xr:uid="{00000000-0005-0000-0000-0000381D0000}"/>
    <cellStyle name="Procent 2 2 7" xfId="4011" xr:uid="{00000000-0005-0000-0000-0000391D0000}"/>
    <cellStyle name="Procent 2 2 7 2" xfId="4635" xr:uid="{00000000-0005-0000-0000-00003A1D0000}"/>
    <cellStyle name="Procent 2 2 7 2 2" xfId="7803" xr:uid="{00000000-0005-0000-0000-00003B1D0000}"/>
    <cellStyle name="Procent 2 2 7 3" xfId="7179" xr:uid="{00000000-0005-0000-0000-00003C1D0000}"/>
    <cellStyle name="Procent 2 2 8" xfId="4117" xr:uid="{00000000-0005-0000-0000-00003D1D0000}"/>
    <cellStyle name="Procent 2 2 8 2" xfId="7285" xr:uid="{00000000-0005-0000-0000-00003E1D0000}"/>
    <cellStyle name="Procent 2 2 9" xfId="3466" xr:uid="{00000000-0005-0000-0000-00003F1D0000}"/>
    <cellStyle name="Procent 2 2 9 2" xfId="6674" xr:uid="{00000000-0005-0000-0000-0000401D0000}"/>
    <cellStyle name="Procent 2 3" xfId="3474" xr:uid="{00000000-0005-0000-0000-0000411D0000}"/>
    <cellStyle name="Procent 2 3 2" xfId="4021" xr:uid="{00000000-0005-0000-0000-0000421D0000}"/>
    <cellStyle name="Procent 2 3 2 2" xfId="4022" xr:uid="{00000000-0005-0000-0000-0000431D0000}"/>
    <cellStyle name="Procent 2 3 2 2 2" xfId="4646" xr:uid="{00000000-0005-0000-0000-0000441D0000}"/>
    <cellStyle name="Procent 2 3 2 2 2 2" xfId="7814" xr:uid="{00000000-0005-0000-0000-0000451D0000}"/>
    <cellStyle name="Procent 2 3 2 2 3" xfId="7190" xr:uid="{00000000-0005-0000-0000-0000461D0000}"/>
    <cellStyle name="Procent 2 3 2 3" xfId="4023" xr:uid="{00000000-0005-0000-0000-0000471D0000}"/>
    <cellStyle name="Procent 2 3 2 3 2" xfId="4647" xr:uid="{00000000-0005-0000-0000-0000481D0000}"/>
    <cellStyle name="Procent 2 3 2 3 2 2" xfId="7815" xr:uid="{00000000-0005-0000-0000-0000491D0000}"/>
    <cellStyle name="Procent 2 3 2 3 3" xfId="7191" xr:uid="{00000000-0005-0000-0000-00004A1D0000}"/>
    <cellStyle name="Procent 2 3 2 4" xfId="4645" xr:uid="{00000000-0005-0000-0000-00004B1D0000}"/>
    <cellStyle name="Procent 2 3 2 4 2" xfId="7813" xr:uid="{00000000-0005-0000-0000-00004C1D0000}"/>
    <cellStyle name="Procent 2 3 2 5" xfId="7189" xr:uid="{00000000-0005-0000-0000-00004D1D0000}"/>
    <cellStyle name="Procent 2 3 3" xfId="4024" xr:uid="{00000000-0005-0000-0000-00004E1D0000}"/>
    <cellStyle name="Procent 2 3 3 2" xfId="4648" xr:uid="{00000000-0005-0000-0000-00004F1D0000}"/>
    <cellStyle name="Procent 2 3 3 2 2" xfId="7816" xr:uid="{00000000-0005-0000-0000-0000501D0000}"/>
    <cellStyle name="Procent 2 3 3 3" xfId="7192" xr:uid="{00000000-0005-0000-0000-0000511D0000}"/>
    <cellStyle name="Procent 2 3 4" xfId="4025" xr:uid="{00000000-0005-0000-0000-0000521D0000}"/>
    <cellStyle name="Procent 2 3 4 2" xfId="4649" xr:uid="{00000000-0005-0000-0000-0000531D0000}"/>
    <cellStyle name="Procent 2 3 4 2 2" xfId="7817" xr:uid="{00000000-0005-0000-0000-0000541D0000}"/>
    <cellStyle name="Procent 2 3 4 3" xfId="7193" xr:uid="{00000000-0005-0000-0000-0000551D0000}"/>
    <cellStyle name="Procent 2 3 5" xfId="4026" xr:uid="{00000000-0005-0000-0000-0000561D0000}"/>
    <cellStyle name="Procent 2 3 5 2" xfId="4650" xr:uid="{00000000-0005-0000-0000-0000571D0000}"/>
    <cellStyle name="Procent 2 3 5 2 2" xfId="7818" xr:uid="{00000000-0005-0000-0000-0000581D0000}"/>
    <cellStyle name="Procent 2 3 5 3" xfId="7194" xr:uid="{00000000-0005-0000-0000-0000591D0000}"/>
    <cellStyle name="Procent 2 3 6" xfId="4027" xr:uid="{00000000-0005-0000-0000-00005A1D0000}"/>
    <cellStyle name="Procent 2 3 6 2" xfId="4651" xr:uid="{00000000-0005-0000-0000-00005B1D0000}"/>
    <cellStyle name="Procent 2 3 6 2 2" xfId="7819" xr:uid="{00000000-0005-0000-0000-00005C1D0000}"/>
    <cellStyle name="Procent 2 3 6 3" xfId="7195" xr:uid="{00000000-0005-0000-0000-00005D1D0000}"/>
    <cellStyle name="Procent 2 3 7" xfId="4020" xr:uid="{00000000-0005-0000-0000-00005E1D0000}"/>
    <cellStyle name="Procent 2 3 7 2" xfId="4644" xr:uid="{00000000-0005-0000-0000-00005F1D0000}"/>
    <cellStyle name="Procent 2 3 7 2 2" xfId="7812" xr:uid="{00000000-0005-0000-0000-0000601D0000}"/>
    <cellStyle name="Procent 2 3 7 3" xfId="7188" xr:uid="{00000000-0005-0000-0000-0000611D0000}"/>
    <cellStyle name="Procent 2 3 8" xfId="4125" xr:uid="{00000000-0005-0000-0000-0000621D0000}"/>
    <cellStyle name="Procent 2 3 8 2" xfId="7293" xr:uid="{00000000-0005-0000-0000-0000631D0000}"/>
    <cellStyle name="Procent 2 3 9" xfId="6682" xr:uid="{00000000-0005-0000-0000-0000641D0000}"/>
    <cellStyle name="Procent 2 4" xfId="3490" xr:uid="{00000000-0005-0000-0000-0000651D0000}"/>
    <cellStyle name="Procent 2 4 2" xfId="4029" xr:uid="{00000000-0005-0000-0000-0000661D0000}"/>
    <cellStyle name="Procent 2 4 2 2" xfId="4030" xr:uid="{00000000-0005-0000-0000-0000671D0000}"/>
    <cellStyle name="Procent 2 4 2 2 2" xfId="4654" xr:uid="{00000000-0005-0000-0000-0000681D0000}"/>
    <cellStyle name="Procent 2 4 2 2 2 2" xfId="7822" xr:uid="{00000000-0005-0000-0000-0000691D0000}"/>
    <cellStyle name="Procent 2 4 2 2 3" xfId="7198" xr:uid="{00000000-0005-0000-0000-00006A1D0000}"/>
    <cellStyle name="Procent 2 4 2 3" xfId="4031" xr:uid="{00000000-0005-0000-0000-00006B1D0000}"/>
    <cellStyle name="Procent 2 4 2 3 2" xfId="4655" xr:uid="{00000000-0005-0000-0000-00006C1D0000}"/>
    <cellStyle name="Procent 2 4 2 3 2 2" xfId="7823" xr:uid="{00000000-0005-0000-0000-00006D1D0000}"/>
    <cellStyle name="Procent 2 4 2 3 3" xfId="7199" xr:uid="{00000000-0005-0000-0000-00006E1D0000}"/>
    <cellStyle name="Procent 2 4 2 4" xfId="4653" xr:uid="{00000000-0005-0000-0000-00006F1D0000}"/>
    <cellStyle name="Procent 2 4 2 4 2" xfId="7821" xr:uid="{00000000-0005-0000-0000-0000701D0000}"/>
    <cellStyle name="Procent 2 4 2 5" xfId="7197" xr:uid="{00000000-0005-0000-0000-0000711D0000}"/>
    <cellStyle name="Procent 2 4 3" xfId="4032" xr:uid="{00000000-0005-0000-0000-0000721D0000}"/>
    <cellStyle name="Procent 2 4 3 2" xfId="4656" xr:uid="{00000000-0005-0000-0000-0000731D0000}"/>
    <cellStyle name="Procent 2 4 3 2 2" xfId="7824" xr:uid="{00000000-0005-0000-0000-0000741D0000}"/>
    <cellStyle name="Procent 2 4 3 3" xfId="7200" xr:uid="{00000000-0005-0000-0000-0000751D0000}"/>
    <cellStyle name="Procent 2 4 4" xfId="4033" xr:uid="{00000000-0005-0000-0000-0000761D0000}"/>
    <cellStyle name="Procent 2 4 4 2" xfId="4657" xr:uid="{00000000-0005-0000-0000-0000771D0000}"/>
    <cellStyle name="Procent 2 4 4 2 2" xfId="7825" xr:uid="{00000000-0005-0000-0000-0000781D0000}"/>
    <cellStyle name="Procent 2 4 4 3" xfId="7201" xr:uid="{00000000-0005-0000-0000-0000791D0000}"/>
    <cellStyle name="Procent 2 4 5" xfId="4034" xr:uid="{00000000-0005-0000-0000-00007A1D0000}"/>
    <cellStyle name="Procent 2 4 5 2" xfId="4658" xr:uid="{00000000-0005-0000-0000-00007B1D0000}"/>
    <cellStyle name="Procent 2 4 5 2 2" xfId="7826" xr:uid="{00000000-0005-0000-0000-00007C1D0000}"/>
    <cellStyle name="Procent 2 4 5 3" xfId="7202" xr:uid="{00000000-0005-0000-0000-00007D1D0000}"/>
    <cellStyle name="Procent 2 4 6" xfId="4035" xr:uid="{00000000-0005-0000-0000-00007E1D0000}"/>
    <cellStyle name="Procent 2 4 6 2" xfId="4659" xr:uid="{00000000-0005-0000-0000-00007F1D0000}"/>
    <cellStyle name="Procent 2 4 6 2 2" xfId="7827" xr:uid="{00000000-0005-0000-0000-0000801D0000}"/>
    <cellStyle name="Procent 2 4 6 3" xfId="7203" xr:uid="{00000000-0005-0000-0000-0000811D0000}"/>
    <cellStyle name="Procent 2 4 7" xfId="4028" xr:uid="{00000000-0005-0000-0000-0000821D0000}"/>
    <cellStyle name="Procent 2 4 7 2" xfId="4652" xr:uid="{00000000-0005-0000-0000-0000831D0000}"/>
    <cellStyle name="Procent 2 4 7 2 2" xfId="7820" xr:uid="{00000000-0005-0000-0000-0000841D0000}"/>
    <cellStyle name="Procent 2 4 7 3" xfId="7196" xr:uid="{00000000-0005-0000-0000-0000851D0000}"/>
    <cellStyle name="Procent 2 4 8" xfId="4141" xr:uid="{00000000-0005-0000-0000-0000861D0000}"/>
    <cellStyle name="Procent 2 4 8 2" xfId="7309" xr:uid="{00000000-0005-0000-0000-0000871D0000}"/>
    <cellStyle name="Procent 2 4 9" xfId="6698" xr:uid="{00000000-0005-0000-0000-0000881D0000}"/>
    <cellStyle name="Procent 2 5" xfId="3383" xr:uid="{00000000-0005-0000-0000-0000891D0000}"/>
    <cellStyle name="Procent 2 5 2" xfId="4037" xr:uid="{00000000-0005-0000-0000-00008A1D0000}"/>
    <cellStyle name="Procent 2 5 2 2" xfId="4038" xr:uid="{00000000-0005-0000-0000-00008B1D0000}"/>
    <cellStyle name="Procent 2 5 2 2 2" xfId="4662" xr:uid="{00000000-0005-0000-0000-00008C1D0000}"/>
    <cellStyle name="Procent 2 5 2 2 2 2" xfId="7830" xr:uid="{00000000-0005-0000-0000-00008D1D0000}"/>
    <cellStyle name="Procent 2 5 2 2 3" xfId="7206" xr:uid="{00000000-0005-0000-0000-00008E1D0000}"/>
    <cellStyle name="Procent 2 5 2 3" xfId="4039" xr:uid="{00000000-0005-0000-0000-00008F1D0000}"/>
    <cellStyle name="Procent 2 5 2 3 2" xfId="4663" xr:uid="{00000000-0005-0000-0000-0000901D0000}"/>
    <cellStyle name="Procent 2 5 2 3 2 2" xfId="7831" xr:uid="{00000000-0005-0000-0000-0000911D0000}"/>
    <cellStyle name="Procent 2 5 2 3 3" xfId="7207" xr:uid="{00000000-0005-0000-0000-0000921D0000}"/>
    <cellStyle name="Procent 2 5 2 4" xfId="4661" xr:uid="{00000000-0005-0000-0000-0000931D0000}"/>
    <cellStyle name="Procent 2 5 2 4 2" xfId="7829" xr:uid="{00000000-0005-0000-0000-0000941D0000}"/>
    <cellStyle name="Procent 2 5 2 5" xfId="7205" xr:uid="{00000000-0005-0000-0000-0000951D0000}"/>
    <cellStyle name="Procent 2 5 3" xfId="4040" xr:uid="{00000000-0005-0000-0000-0000961D0000}"/>
    <cellStyle name="Procent 2 5 3 2" xfId="4664" xr:uid="{00000000-0005-0000-0000-0000971D0000}"/>
    <cellStyle name="Procent 2 5 3 2 2" xfId="7832" xr:uid="{00000000-0005-0000-0000-0000981D0000}"/>
    <cellStyle name="Procent 2 5 3 3" xfId="7208" xr:uid="{00000000-0005-0000-0000-0000991D0000}"/>
    <cellStyle name="Procent 2 5 4" xfId="4041" xr:uid="{00000000-0005-0000-0000-00009A1D0000}"/>
    <cellStyle name="Procent 2 5 4 2" xfId="4665" xr:uid="{00000000-0005-0000-0000-00009B1D0000}"/>
    <cellStyle name="Procent 2 5 4 2 2" xfId="7833" xr:uid="{00000000-0005-0000-0000-00009C1D0000}"/>
    <cellStyle name="Procent 2 5 4 3" xfId="7209" xr:uid="{00000000-0005-0000-0000-00009D1D0000}"/>
    <cellStyle name="Procent 2 5 5" xfId="4042" xr:uid="{00000000-0005-0000-0000-00009E1D0000}"/>
    <cellStyle name="Procent 2 5 5 2" xfId="4666" xr:uid="{00000000-0005-0000-0000-00009F1D0000}"/>
    <cellStyle name="Procent 2 5 5 2 2" xfId="7834" xr:uid="{00000000-0005-0000-0000-0000A01D0000}"/>
    <cellStyle name="Procent 2 5 5 3" xfId="7210" xr:uid="{00000000-0005-0000-0000-0000A11D0000}"/>
    <cellStyle name="Procent 2 5 6" xfId="4036" xr:uid="{00000000-0005-0000-0000-0000A21D0000}"/>
    <cellStyle name="Procent 2 5 6 2" xfId="4660" xr:uid="{00000000-0005-0000-0000-0000A31D0000}"/>
    <cellStyle name="Procent 2 5 6 2 2" xfId="7828" xr:uid="{00000000-0005-0000-0000-0000A41D0000}"/>
    <cellStyle name="Procent 2 5 6 3" xfId="7204" xr:uid="{00000000-0005-0000-0000-0000A51D0000}"/>
    <cellStyle name="Procent 2 6" xfId="4043" xr:uid="{00000000-0005-0000-0000-0000A61D0000}"/>
    <cellStyle name="Procent 2 6 2" xfId="4044" xr:uid="{00000000-0005-0000-0000-0000A71D0000}"/>
    <cellStyle name="Procent 2 6 2 2" xfId="4045" xr:uid="{00000000-0005-0000-0000-0000A81D0000}"/>
    <cellStyle name="Procent 2 6 2 2 2" xfId="4669" xr:uid="{00000000-0005-0000-0000-0000A91D0000}"/>
    <cellStyle name="Procent 2 6 2 2 2 2" xfId="7837" xr:uid="{00000000-0005-0000-0000-0000AA1D0000}"/>
    <cellStyle name="Procent 2 6 2 2 3" xfId="7213" xr:uid="{00000000-0005-0000-0000-0000AB1D0000}"/>
    <cellStyle name="Procent 2 6 2 3" xfId="4046" xr:uid="{00000000-0005-0000-0000-0000AC1D0000}"/>
    <cellStyle name="Procent 2 6 2 3 2" xfId="4670" xr:uid="{00000000-0005-0000-0000-0000AD1D0000}"/>
    <cellStyle name="Procent 2 6 2 3 2 2" xfId="7838" xr:uid="{00000000-0005-0000-0000-0000AE1D0000}"/>
    <cellStyle name="Procent 2 6 2 3 3" xfId="7214" xr:uid="{00000000-0005-0000-0000-0000AF1D0000}"/>
    <cellStyle name="Procent 2 6 2 4" xfId="4668" xr:uid="{00000000-0005-0000-0000-0000B01D0000}"/>
    <cellStyle name="Procent 2 6 2 4 2" xfId="7836" xr:uid="{00000000-0005-0000-0000-0000B11D0000}"/>
    <cellStyle name="Procent 2 6 2 5" xfId="7212" xr:uid="{00000000-0005-0000-0000-0000B21D0000}"/>
    <cellStyle name="Procent 2 6 3" xfId="4047" xr:uid="{00000000-0005-0000-0000-0000B31D0000}"/>
    <cellStyle name="Procent 2 6 3 2" xfId="4671" xr:uid="{00000000-0005-0000-0000-0000B41D0000}"/>
    <cellStyle name="Procent 2 6 3 2 2" xfId="7839" xr:uid="{00000000-0005-0000-0000-0000B51D0000}"/>
    <cellStyle name="Procent 2 6 3 3" xfId="7215" xr:uid="{00000000-0005-0000-0000-0000B61D0000}"/>
    <cellStyle name="Procent 2 6 4" xfId="4048" xr:uid="{00000000-0005-0000-0000-0000B71D0000}"/>
    <cellStyle name="Procent 2 6 4 2" xfId="4672" xr:uid="{00000000-0005-0000-0000-0000B81D0000}"/>
    <cellStyle name="Procent 2 6 4 2 2" xfId="7840" xr:uid="{00000000-0005-0000-0000-0000B91D0000}"/>
    <cellStyle name="Procent 2 6 4 3" xfId="7216" xr:uid="{00000000-0005-0000-0000-0000BA1D0000}"/>
    <cellStyle name="Procent 2 6 5" xfId="4049" xr:uid="{00000000-0005-0000-0000-0000BB1D0000}"/>
    <cellStyle name="Procent 2 6 5 2" xfId="4673" xr:uid="{00000000-0005-0000-0000-0000BC1D0000}"/>
    <cellStyle name="Procent 2 6 5 2 2" xfId="7841" xr:uid="{00000000-0005-0000-0000-0000BD1D0000}"/>
    <cellStyle name="Procent 2 6 5 3" xfId="7217" xr:uid="{00000000-0005-0000-0000-0000BE1D0000}"/>
    <cellStyle name="Procent 2 6 6" xfId="4667" xr:uid="{00000000-0005-0000-0000-0000BF1D0000}"/>
    <cellStyle name="Procent 2 6 6 2" xfId="7835" xr:uid="{00000000-0005-0000-0000-0000C01D0000}"/>
    <cellStyle name="Procent 2 6 7" xfId="7211" xr:uid="{00000000-0005-0000-0000-0000C11D0000}"/>
    <cellStyle name="Procent 2 7" xfId="4050" xr:uid="{00000000-0005-0000-0000-0000C21D0000}"/>
    <cellStyle name="Procent 2 7 2" xfId="4051" xr:uid="{00000000-0005-0000-0000-0000C31D0000}"/>
    <cellStyle name="Procent 2 7 2 2" xfId="4052" xr:uid="{00000000-0005-0000-0000-0000C41D0000}"/>
    <cellStyle name="Procent 2 7 2 2 2" xfId="4676" xr:uid="{00000000-0005-0000-0000-0000C51D0000}"/>
    <cellStyle name="Procent 2 7 2 2 2 2" xfId="7844" xr:uid="{00000000-0005-0000-0000-0000C61D0000}"/>
    <cellStyle name="Procent 2 7 2 2 3" xfId="7220" xr:uid="{00000000-0005-0000-0000-0000C71D0000}"/>
    <cellStyle name="Procent 2 7 2 3" xfId="4053" xr:uid="{00000000-0005-0000-0000-0000C81D0000}"/>
    <cellStyle name="Procent 2 7 2 3 2" xfId="4677" xr:uid="{00000000-0005-0000-0000-0000C91D0000}"/>
    <cellStyle name="Procent 2 7 2 3 2 2" xfId="7845" xr:uid="{00000000-0005-0000-0000-0000CA1D0000}"/>
    <cellStyle name="Procent 2 7 2 3 3" xfId="7221" xr:uid="{00000000-0005-0000-0000-0000CB1D0000}"/>
    <cellStyle name="Procent 2 7 2 4" xfId="4675" xr:uid="{00000000-0005-0000-0000-0000CC1D0000}"/>
    <cellStyle name="Procent 2 7 2 4 2" xfId="7843" xr:uid="{00000000-0005-0000-0000-0000CD1D0000}"/>
    <cellStyle name="Procent 2 7 2 5" xfId="7219" xr:uid="{00000000-0005-0000-0000-0000CE1D0000}"/>
    <cellStyle name="Procent 2 7 3" xfId="4054" xr:uid="{00000000-0005-0000-0000-0000CF1D0000}"/>
    <cellStyle name="Procent 2 7 3 2" xfId="4678" xr:uid="{00000000-0005-0000-0000-0000D01D0000}"/>
    <cellStyle name="Procent 2 7 3 2 2" xfId="7846" xr:uid="{00000000-0005-0000-0000-0000D11D0000}"/>
    <cellStyle name="Procent 2 7 3 3" xfId="7222" xr:uid="{00000000-0005-0000-0000-0000D21D0000}"/>
    <cellStyle name="Procent 2 7 4" xfId="4055" xr:uid="{00000000-0005-0000-0000-0000D31D0000}"/>
    <cellStyle name="Procent 2 7 4 2" xfId="4679" xr:uid="{00000000-0005-0000-0000-0000D41D0000}"/>
    <cellStyle name="Procent 2 7 4 2 2" xfId="7847" xr:uid="{00000000-0005-0000-0000-0000D51D0000}"/>
    <cellStyle name="Procent 2 7 4 3" xfId="7223" xr:uid="{00000000-0005-0000-0000-0000D61D0000}"/>
    <cellStyle name="Procent 2 7 5" xfId="4056" xr:uid="{00000000-0005-0000-0000-0000D71D0000}"/>
    <cellStyle name="Procent 2 7 5 2" xfId="4680" xr:uid="{00000000-0005-0000-0000-0000D81D0000}"/>
    <cellStyle name="Procent 2 7 5 2 2" xfId="7848" xr:uid="{00000000-0005-0000-0000-0000D91D0000}"/>
    <cellStyle name="Procent 2 7 5 3" xfId="7224" xr:uid="{00000000-0005-0000-0000-0000DA1D0000}"/>
    <cellStyle name="Procent 2 7 6" xfId="4674" xr:uid="{00000000-0005-0000-0000-0000DB1D0000}"/>
    <cellStyle name="Procent 2 7 6 2" xfId="7842" xr:uid="{00000000-0005-0000-0000-0000DC1D0000}"/>
    <cellStyle name="Procent 2 7 7" xfId="7218" xr:uid="{00000000-0005-0000-0000-0000DD1D0000}"/>
    <cellStyle name="Procent 2 8" xfId="4057" xr:uid="{00000000-0005-0000-0000-0000DE1D0000}"/>
    <cellStyle name="Procent 2 8 2" xfId="4058" xr:uid="{00000000-0005-0000-0000-0000DF1D0000}"/>
    <cellStyle name="Procent 2 8 2 2" xfId="4059" xr:uid="{00000000-0005-0000-0000-0000E01D0000}"/>
    <cellStyle name="Procent 2 8 2 2 2" xfId="4683" xr:uid="{00000000-0005-0000-0000-0000E11D0000}"/>
    <cellStyle name="Procent 2 8 2 2 2 2" xfId="7851" xr:uid="{00000000-0005-0000-0000-0000E21D0000}"/>
    <cellStyle name="Procent 2 8 2 2 3" xfId="7227" xr:uid="{00000000-0005-0000-0000-0000E31D0000}"/>
    <cellStyle name="Procent 2 8 2 3" xfId="4060" xr:uid="{00000000-0005-0000-0000-0000E41D0000}"/>
    <cellStyle name="Procent 2 8 2 3 2" xfId="4684" xr:uid="{00000000-0005-0000-0000-0000E51D0000}"/>
    <cellStyle name="Procent 2 8 2 3 2 2" xfId="7852" xr:uid="{00000000-0005-0000-0000-0000E61D0000}"/>
    <cellStyle name="Procent 2 8 2 3 3" xfId="7228" xr:uid="{00000000-0005-0000-0000-0000E71D0000}"/>
    <cellStyle name="Procent 2 8 2 4" xfId="4682" xr:uid="{00000000-0005-0000-0000-0000E81D0000}"/>
    <cellStyle name="Procent 2 8 2 4 2" xfId="7850" xr:uid="{00000000-0005-0000-0000-0000E91D0000}"/>
    <cellStyle name="Procent 2 8 2 5" xfId="7226" xr:uid="{00000000-0005-0000-0000-0000EA1D0000}"/>
    <cellStyle name="Procent 2 8 3" xfId="4061" xr:uid="{00000000-0005-0000-0000-0000EB1D0000}"/>
    <cellStyle name="Procent 2 8 3 2" xfId="4685" xr:uid="{00000000-0005-0000-0000-0000EC1D0000}"/>
    <cellStyle name="Procent 2 8 3 2 2" xfId="7853" xr:uid="{00000000-0005-0000-0000-0000ED1D0000}"/>
    <cellStyle name="Procent 2 8 3 3" xfId="7229" xr:uid="{00000000-0005-0000-0000-0000EE1D0000}"/>
    <cellStyle name="Procent 2 8 4" xfId="4062" xr:uid="{00000000-0005-0000-0000-0000EF1D0000}"/>
    <cellStyle name="Procent 2 8 4 2" xfId="4686" xr:uid="{00000000-0005-0000-0000-0000F01D0000}"/>
    <cellStyle name="Procent 2 8 4 2 2" xfId="7854" xr:uid="{00000000-0005-0000-0000-0000F11D0000}"/>
    <cellStyle name="Procent 2 8 4 3" xfId="7230" xr:uid="{00000000-0005-0000-0000-0000F21D0000}"/>
    <cellStyle name="Procent 2 8 5" xfId="4063" xr:uid="{00000000-0005-0000-0000-0000F31D0000}"/>
    <cellStyle name="Procent 2 8 5 2" xfId="4687" xr:uid="{00000000-0005-0000-0000-0000F41D0000}"/>
    <cellStyle name="Procent 2 8 5 2 2" xfId="7855" xr:uid="{00000000-0005-0000-0000-0000F51D0000}"/>
    <cellStyle name="Procent 2 8 5 3" xfId="7231" xr:uid="{00000000-0005-0000-0000-0000F61D0000}"/>
    <cellStyle name="Procent 2 8 6" xfId="4681" xr:uid="{00000000-0005-0000-0000-0000F71D0000}"/>
    <cellStyle name="Procent 2 8 6 2" xfId="7849" xr:uid="{00000000-0005-0000-0000-0000F81D0000}"/>
    <cellStyle name="Procent 2 8 7" xfId="7225" xr:uid="{00000000-0005-0000-0000-0000F91D0000}"/>
    <cellStyle name="Procent 2 9" xfId="4064" xr:uid="{00000000-0005-0000-0000-0000FA1D0000}"/>
    <cellStyle name="Procent 2 9 2" xfId="4065" xr:uid="{00000000-0005-0000-0000-0000FB1D0000}"/>
    <cellStyle name="Procent 2 9 2 2" xfId="4689" xr:uid="{00000000-0005-0000-0000-0000FC1D0000}"/>
    <cellStyle name="Procent 2 9 2 2 2" xfId="7857" xr:uid="{00000000-0005-0000-0000-0000FD1D0000}"/>
    <cellStyle name="Procent 2 9 2 3" xfId="7233" xr:uid="{00000000-0005-0000-0000-0000FE1D0000}"/>
    <cellStyle name="Procent 2 9 3" xfId="4066" xr:uid="{00000000-0005-0000-0000-0000FF1D0000}"/>
    <cellStyle name="Procent 2 9 3 2" xfId="4690" xr:uid="{00000000-0005-0000-0000-0000001E0000}"/>
    <cellStyle name="Procent 2 9 3 2 2" xfId="7858" xr:uid="{00000000-0005-0000-0000-0000011E0000}"/>
    <cellStyle name="Procent 2 9 3 3" xfId="7234" xr:uid="{00000000-0005-0000-0000-0000021E0000}"/>
    <cellStyle name="Procent 2 9 4" xfId="4688" xr:uid="{00000000-0005-0000-0000-0000031E0000}"/>
    <cellStyle name="Procent 2 9 4 2" xfId="7856" xr:uid="{00000000-0005-0000-0000-0000041E0000}"/>
    <cellStyle name="Procent 2 9 5" xfId="7232" xr:uid="{00000000-0005-0000-0000-0000051E0000}"/>
    <cellStyle name="Procent 3" xfId="1988" xr:uid="{00000000-0005-0000-0000-0000061E0000}"/>
    <cellStyle name="Procent 3 2" xfId="1989" xr:uid="{00000000-0005-0000-0000-0000071E0000}"/>
    <cellStyle name="Procent 3 2 2" xfId="3479" xr:uid="{00000000-0005-0000-0000-0000081E0000}"/>
    <cellStyle name="Procent 3 2 2 2" xfId="4130" xr:uid="{00000000-0005-0000-0000-0000091E0000}"/>
    <cellStyle name="Procent 3 2 2 2 2" xfId="7298" xr:uid="{00000000-0005-0000-0000-00000A1E0000}"/>
    <cellStyle name="Procent 3 2 2 3" xfId="6687" xr:uid="{00000000-0005-0000-0000-00000B1E0000}"/>
    <cellStyle name="Procent 3 2 3" xfId="3495" xr:uid="{00000000-0005-0000-0000-00000C1E0000}"/>
    <cellStyle name="Procent 3 2 3 2" xfId="4146" xr:uid="{00000000-0005-0000-0000-00000D1E0000}"/>
    <cellStyle name="Procent 3 2 3 2 2" xfId="7314" xr:uid="{00000000-0005-0000-0000-00000E1E0000}"/>
    <cellStyle name="Procent 3 2 3 3" xfId="6703" xr:uid="{00000000-0005-0000-0000-00000F1E0000}"/>
    <cellStyle name="Procent 3 2 4" xfId="4114" xr:uid="{00000000-0005-0000-0000-0000101E0000}"/>
    <cellStyle name="Procent 3 2 4 2" xfId="7282" xr:uid="{00000000-0005-0000-0000-0000111E0000}"/>
    <cellStyle name="Procent 3 2 5" xfId="3463" xr:uid="{00000000-0005-0000-0000-0000121E0000}"/>
    <cellStyle name="Procent 3 2 5 2" xfId="6671" xr:uid="{00000000-0005-0000-0000-0000131E0000}"/>
    <cellStyle name="Procent 3 3" xfId="3471" xr:uid="{00000000-0005-0000-0000-0000141E0000}"/>
    <cellStyle name="Procent 3 3 2" xfId="4122" xr:uid="{00000000-0005-0000-0000-0000151E0000}"/>
    <cellStyle name="Procent 3 3 2 2" xfId="7290" xr:uid="{00000000-0005-0000-0000-0000161E0000}"/>
    <cellStyle name="Procent 3 3 3" xfId="6679" xr:uid="{00000000-0005-0000-0000-0000171E0000}"/>
    <cellStyle name="Procent 3 4" xfId="3487" xr:uid="{00000000-0005-0000-0000-0000181E0000}"/>
    <cellStyle name="Procent 3 4 2" xfId="4138" xr:uid="{00000000-0005-0000-0000-0000191E0000}"/>
    <cellStyle name="Procent 3 4 2 2" xfId="7306" xr:uid="{00000000-0005-0000-0000-00001A1E0000}"/>
    <cellStyle name="Procent 3 4 3" xfId="6695" xr:uid="{00000000-0005-0000-0000-00001B1E0000}"/>
    <cellStyle name="Procent 3 5" xfId="3508" xr:uid="{00000000-0005-0000-0000-00001C1E0000}"/>
    <cellStyle name="Procent 3 6" xfId="4106" xr:uid="{00000000-0005-0000-0000-00001D1E0000}"/>
    <cellStyle name="Procent 3 6 2" xfId="7274" xr:uid="{00000000-0005-0000-0000-00001E1E0000}"/>
    <cellStyle name="Procent 3 7" xfId="3387" xr:uid="{00000000-0005-0000-0000-00001F1E0000}"/>
    <cellStyle name="Procent 3 7 2" xfId="6655" xr:uid="{00000000-0005-0000-0000-0000201E0000}"/>
    <cellStyle name="Procent 4" xfId="1990" xr:uid="{00000000-0005-0000-0000-0000211E0000}"/>
    <cellStyle name="Procent 4 2" xfId="3260" xr:uid="{00000000-0005-0000-0000-0000221E0000}"/>
    <cellStyle name="Procent 4 2 2" xfId="3309" xr:uid="{00000000-0005-0000-0000-0000231E0000}"/>
    <cellStyle name="Procent 4 2 2 2" xfId="4693" xr:uid="{00000000-0005-0000-0000-0000241E0000}"/>
    <cellStyle name="Procent 4 2 2 2 2" xfId="7861" xr:uid="{00000000-0005-0000-0000-0000251E0000}"/>
    <cellStyle name="Procent 4 2 2 3" xfId="4069" xr:uid="{00000000-0005-0000-0000-0000261E0000}"/>
    <cellStyle name="Procent 4 2 2 3 2" xfId="7237" xr:uid="{00000000-0005-0000-0000-0000271E0000}"/>
    <cellStyle name="Procent 4 2 2 4" xfId="6618" xr:uid="{00000000-0005-0000-0000-0000281E0000}"/>
    <cellStyle name="Procent 4 2 3" xfId="4070" xr:uid="{00000000-0005-0000-0000-0000291E0000}"/>
    <cellStyle name="Procent 4 2 3 2" xfId="4694" xr:uid="{00000000-0005-0000-0000-00002A1E0000}"/>
    <cellStyle name="Procent 4 2 3 2 2" xfId="7862" xr:uid="{00000000-0005-0000-0000-00002B1E0000}"/>
    <cellStyle name="Procent 4 2 3 3" xfId="7238" xr:uid="{00000000-0005-0000-0000-00002C1E0000}"/>
    <cellStyle name="Procent 4 2 4" xfId="4692" xr:uid="{00000000-0005-0000-0000-00002D1E0000}"/>
    <cellStyle name="Procent 4 2 4 2" xfId="7860" xr:uid="{00000000-0005-0000-0000-00002E1E0000}"/>
    <cellStyle name="Procent 4 2 5" xfId="4068" xr:uid="{00000000-0005-0000-0000-00002F1E0000}"/>
    <cellStyle name="Procent 4 2 5 2" xfId="7236" xr:uid="{00000000-0005-0000-0000-0000301E0000}"/>
    <cellStyle name="Procent 4 2 6" xfId="5675" xr:uid="{00000000-0005-0000-0000-0000311E0000}"/>
    <cellStyle name="Procent 4 2 7" xfId="6597" xr:uid="{00000000-0005-0000-0000-0000321E0000}"/>
    <cellStyle name="Procent 4 3" xfId="3290" xr:uid="{00000000-0005-0000-0000-0000331E0000}"/>
    <cellStyle name="Procent 4 3 2" xfId="4695" xr:uid="{00000000-0005-0000-0000-0000341E0000}"/>
    <cellStyle name="Procent 4 3 2 2" xfId="7863" xr:uid="{00000000-0005-0000-0000-0000351E0000}"/>
    <cellStyle name="Procent 4 3 3" xfId="4071" xr:uid="{00000000-0005-0000-0000-0000361E0000}"/>
    <cellStyle name="Procent 4 3 3 2" xfId="7239" xr:uid="{00000000-0005-0000-0000-0000371E0000}"/>
    <cellStyle name="Procent 4 3 4" xfId="6608" xr:uid="{00000000-0005-0000-0000-0000381E0000}"/>
    <cellStyle name="Procent 4 4" xfId="4072" xr:uid="{00000000-0005-0000-0000-0000391E0000}"/>
    <cellStyle name="Procent 4 4 2" xfId="4696" xr:uid="{00000000-0005-0000-0000-00003A1E0000}"/>
    <cellStyle name="Procent 4 4 2 2" xfId="7864" xr:uid="{00000000-0005-0000-0000-00003B1E0000}"/>
    <cellStyle name="Procent 4 4 3" xfId="7240" xr:uid="{00000000-0005-0000-0000-00003C1E0000}"/>
    <cellStyle name="Procent 4 5" xfId="4073" xr:uid="{00000000-0005-0000-0000-00003D1E0000}"/>
    <cellStyle name="Procent 4 5 2" xfId="4697" xr:uid="{00000000-0005-0000-0000-00003E1E0000}"/>
    <cellStyle name="Procent 4 5 2 2" xfId="7865" xr:uid="{00000000-0005-0000-0000-00003F1E0000}"/>
    <cellStyle name="Procent 4 5 3" xfId="7241" xr:uid="{00000000-0005-0000-0000-0000401E0000}"/>
    <cellStyle name="Procent 4 6" xfId="4691" xr:uid="{00000000-0005-0000-0000-0000411E0000}"/>
    <cellStyle name="Procent 4 6 2" xfId="7859" xr:uid="{00000000-0005-0000-0000-0000421E0000}"/>
    <cellStyle name="Procent 4 7" xfId="4067" xr:uid="{00000000-0005-0000-0000-0000431E0000}"/>
    <cellStyle name="Procent 4 7 2" xfId="7235" xr:uid="{00000000-0005-0000-0000-0000441E0000}"/>
    <cellStyle name="Procent 4 8" xfId="5306" xr:uid="{00000000-0005-0000-0000-0000451E0000}"/>
    <cellStyle name="Procent 4 9" xfId="6228" xr:uid="{00000000-0005-0000-0000-0000461E0000}"/>
    <cellStyle name="Procent 5" xfId="3313" xr:uid="{00000000-0005-0000-0000-0000471E0000}"/>
    <cellStyle name="Procent 5 2" xfId="4075" xr:uid="{00000000-0005-0000-0000-0000481E0000}"/>
    <cellStyle name="Procent 5 2 2" xfId="4076" xr:uid="{00000000-0005-0000-0000-0000491E0000}"/>
    <cellStyle name="Procent 5 2 2 2" xfId="4700" xr:uid="{00000000-0005-0000-0000-00004A1E0000}"/>
    <cellStyle name="Procent 5 2 2 2 2" xfId="7868" xr:uid="{00000000-0005-0000-0000-00004B1E0000}"/>
    <cellStyle name="Procent 5 2 2 3" xfId="7244" xr:uid="{00000000-0005-0000-0000-00004C1E0000}"/>
    <cellStyle name="Procent 5 2 3" xfId="4077" xr:uid="{00000000-0005-0000-0000-00004D1E0000}"/>
    <cellStyle name="Procent 5 2 3 2" xfId="4701" xr:uid="{00000000-0005-0000-0000-00004E1E0000}"/>
    <cellStyle name="Procent 5 2 3 2 2" xfId="7869" xr:uid="{00000000-0005-0000-0000-00004F1E0000}"/>
    <cellStyle name="Procent 5 2 3 3" xfId="7245" xr:uid="{00000000-0005-0000-0000-0000501E0000}"/>
    <cellStyle name="Procent 5 2 4" xfId="4699" xr:uid="{00000000-0005-0000-0000-0000511E0000}"/>
    <cellStyle name="Procent 5 2 4 2" xfId="7867" xr:uid="{00000000-0005-0000-0000-0000521E0000}"/>
    <cellStyle name="Procent 5 2 5" xfId="7243" xr:uid="{00000000-0005-0000-0000-0000531E0000}"/>
    <cellStyle name="Procent 5 3" xfId="4078" xr:uid="{00000000-0005-0000-0000-0000541E0000}"/>
    <cellStyle name="Procent 5 3 2" xfId="4702" xr:uid="{00000000-0005-0000-0000-0000551E0000}"/>
    <cellStyle name="Procent 5 3 2 2" xfId="7870" xr:uid="{00000000-0005-0000-0000-0000561E0000}"/>
    <cellStyle name="Procent 5 3 3" xfId="7246" xr:uid="{00000000-0005-0000-0000-0000571E0000}"/>
    <cellStyle name="Procent 5 4" xfId="4079" xr:uid="{00000000-0005-0000-0000-0000581E0000}"/>
    <cellStyle name="Procent 5 4 2" xfId="4703" xr:uid="{00000000-0005-0000-0000-0000591E0000}"/>
    <cellStyle name="Procent 5 4 2 2" xfId="7871" xr:uid="{00000000-0005-0000-0000-00005A1E0000}"/>
    <cellStyle name="Procent 5 4 3" xfId="7247" xr:uid="{00000000-0005-0000-0000-00005B1E0000}"/>
    <cellStyle name="Procent 5 5" xfId="4080" xr:uid="{00000000-0005-0000-0000-00005C1E0000}"/>
    <cellStyle name="Procent 5 5 2" xfId="4704" xr:uid="{00000000-0005-0000-0000-00005D1E0000}"/>
    <cellStyle name="Procent 5 5 2 2" xfId="7872" xr:uid="{00000000-0005-0000-0000-00005E1E0000}"/>
    <cellStyle name="Procent 5 5 3" xfId="7248" xr:uid="{00000000-0005-0000-0000-00005F1E0000}"/>
    <cellStyle name="Procent 5 6" xfId="4698" xr:uid="{00000000-0005-0000-0000-0000601E0000}"/>
    <cellStyle name="Procent 5 6 2" xfId="7866" xr:uid="{00000000-0005-0000-0000-0000611E0000}"/>
    <cellStyle name="Procent 5 7" xfId="4074" xr:uid="{00000000-0005-0000-0000-0000621E0000}"/>
    <cellStyle name="Procent 5 7 2" xfId="7242" xr:uid="{00000000-0005-0000-0000-0000631E0000}"/>
    <cellStyle name="Procent 5 8" xfId="6622" xr:uid="{00000000-0005-0000-0000-0000641E0000}"/>
    <cellStyle name="Procent 6" xfId="3364" xr:uid="{00000000-0005-0000-0000-0000651E0000}"/>
    <cellStyle name="Procent 6 2" xfId="4081" xr:uid="{00000000-0005-0000-0000-0000661E0000}"/>
    <cellStyle name="Procent 6 2 2" xfId="4082" xr:uid="{00000000-0005-0000-0000-0000671E0000}"/>
    <cellStyle name="Procent 6 2 2 2" xfId="4707" xr:uid="{00000000-0005-0000-0000-0000681E0000}"/>
    <cellStyle name="Procent 6 2 2 2 2" xfId="7875" xr:uid="{00000000-0005-0000-0000-0000691E0000}"/>
    <cellStyle name="Procent 6 2 2 3" xfId="7250" xr:uid="{00000000-0005-0000-0000-00006A1E0000}"/>
    <cellStyle name="Procent 6 2 3" xfId="4083" xr:uid="{00000000-0005-0000-0000-00006B1E0000}"/>
    <cellStyle name="Procent 6 2 3 2" xfId="4708" xr:uid="{00000000-0005-0000-0000-00006C1E0000}"/>
    <cellStyle name="Procent 6 2 3 2 2" xfId="7876" xr:uid="{00000000-0005-0000-0000-00006D1E0000}"/>
    <cellStyle name="Procent 6 2 3 3" xfId="7251" xr:uid="{00000000-0005-0000-0000-00006E1E0000}"/>
    <cellStyle name="Procent 6 2 4" xfId="4706" xr:uid="{00000000-0005-0000-0000-00006F1E0000}"/>
    <cellStyle name="Procent 6 2 4 2" xfId="7874" xr:uid="{00000000-0005-0000-0000-0000701E0000}"/>
    <cellStyle name="Procent 6 2 5" xfId="7249" xr:uid="{00000000-0005-0000-0000-0000711E0000}"/>
    <cellStyle name="Procent 6 3" xfId="4084" xr:uid="{00000000-0005-0000-0000-0000721E0000}"/>
    <cellStyle name="Procent 6 3 2" xfId="4709" xr:uid="{00000000-0005-0000-0000-0000731E0000}"/>
    <cellStyle name="Procent 6 3 2 2" xfId="7877" xr:uid="{00000000-0005-0000-0000-0000741E0000}"/>
    <cellStyle name="Procent 6 3 3" xfId="7252" xr:uid="{00000000-0005-0000-0000-0000751E0000}"/>
    <cellStyle name="Procent 6 4" xfId="4085" xr:uid="{00000000-0005-0000-0000-0000761E0000}"/>
    <cellStyle name="Procent 6 4 2" xfId="4710" xr:uid="{00000000-0005-0000-0000-0000771E0000}"/>
    <cellStyle name="Procent 6 4 2 2" xfId="7878" xr:uid="{00000000-0005-0000-0000-0000781E0000}"/>
    <cellStyle name="Procent 6 4 3" xfId="7253" xr:uid="{00000000-0005-0000-0000-0000791E0000}"/>
    <cellStyle name="Procent 6 5" xfId="4086" xr:uid="{00000000-0005-0000-0000-00007A1E0000}"/>
    <cellStyle name="Procent 6 5 2" xfId="4711" xr:uid="{00000000-0005-0000-0000-00007B1E0000}"/>
    <cellStyle name="Procent 6 5 2 2" xfId="7879" xr:uid="{00000000-0005-0000-0000-00007C1E0000}"/>
    <cellStyle name="Procent 6 5 3" xfId="7254" xr:uid="{00000000-0005-0000-0000-00007D1E0000}"/>
    <cellStyle name="Procent 6 6" xfId="4705" xr:uid="{00000000-0005-0000-0000-00007E1E0000}"/>
    <cellStyle name="Procent 6 6 2" xfId="7873" xr:uid="{00000000-0005-0000-0000-00007F1E0000}"/>
    <cellStyle name="Procent 6 7" xfId="6648" xr:uid="{00000000-0005-0000-0000-0000801E0000}"/>
    <cellStyle name="Procent 7" xfId="4087" xr:uid="{00000000-0005-0000-0000-0000811E0000}"/>
    <cellStyle name="Procent 7 2" xfId="4088" xr:uid="{00000000-0005-0000-0000-0000821E0000}"/>
    <cellStyle name="Procent 7 2 2" xfId="4089" xr:uid="{00000000-0005-0000-0000-0000831E0000}"/>
    <cellStyle name="Procent 7 2 2 2" xfId="4714" xr:uid="{00000000-0005-0000-0000-0000841E0000}"/>
    <cellStyle name="Procent 7 2 2 2 2" xfId="7882" xr:uid="{00000000-0005-0000-0000-0000851E0000}"/>
    <cellStyle name="Procent 7 2 2 3" xfId="7257" xr:uid="{00000000-0005-0000-0000-0000861E0000}"/>
    <cellStyle name="Procent 7 2 3" xfId="4090" xr:uid="{00000000-0005-0000-0000-0000871E0000}"/>
    <cellStyle name="Procent 7 2 3 2" xfId="4715" xr:uid="{00000000-0005-0000-0000-0000881E0000}"/>
    <cellStyle name="Procent 7 2 3 2 2" xfId="7883" xr:uid="{00000000-0005-0000-0000-0000891E0000}"/>
    <cellStyle name="Procent 7 2 3 3" xfId="7258" xr:uid="{00000000-0005-0000-0000-00008A1E0000}"/>
    <cellStyle name="Procent 7 2 4" xfId="4713" xr:uid="{00000000-0005-0000-0000-00008B1E0000}"/>
    <cellStyle name="Procent 7 2 4 2" xfId="7881" xr:uid="{00000000-0005-0000-0000-00008C1E0000}"/>
    <cellStyle name="Procent 7 2 5" xfId="7256" xr:uid="{00000000-0005-0000-0000-00008D1E0000}"/>
    <cellStyle name="Procent 7 3" xfId="4091" xr:uid="{00000000-0005-0000-0000-00008E1E0000}"/>
    <cellStyle name="Procent 7 3 2" xfId="4716" xr:uid="{00000000-0005-0000-0000-00008F1E0000}"/>
    <cellStyle name="Procent 7 3 2 2" xfId="7884" xr:uid="{00000000-0005-0000-0000-0000901E0000}"/>
    <cellStyle name="Procent 7 3 3" xfId="7259" xr:uid="{00000000-0005-0000-0000-0000911E0000}"/>
    <cellStyle name="Procent 7 4" xfId="4092" xr:uid="{00000000-0005-0000-0000-0000921E0000}"/>
    <cellStyle name="Procent 7 4 2" xfId="4717" xr:uid="{00000000-0005-0000-0000-0000931E0000}"/>
    <cellStyle name="Procent 7 4 2 2" xfId="7885" xr:uid="{00000000-0005-0000-0000-0000941E0000}"/>
    <cellStyle name="Procent 7 4 3" xfId="7260" xr:uid="{00000000-0005-0000-0000-0000951E0000}"/>
    <cellStyle name="Procent 7 5" xfId="4093" xr:uid="{00000000-0005-0000-0000-0000961E0000}"/>
    <cellStyle name="Procent 7 5 2" xfId="4718" xr:uid="{00000000-0005-0000-0000-0000971E0000}"/>
    <cellStyle name="Procent 7 5 2 2" xfId="7886" xr:uid="{00000000-0005-0000-0000-0000981E0000}"/>
    <cellStyle name="Procent 7 5 3" xfId="7261" xr:uid="{00000000-0005-0000-0000-0000991E0000}"/>
    <cellStyle name="Procent 7 6" xfId="4712" xr:uid="{00000000-0005-0000-0000-00009A1E0000}"/>
    <cellStyle name="Procent 7 6 2" xfId="7880" xr:uid="{00000000-0005-0000-0000-00009B1E0000}"/>
    <cellStyle name="Procent 7 7" xfId="7255" xr:uid="{00000000-0005-0000-0000-00009C1E0000}"/>
    <cellStyle name="Procent 8" xfId="4094" xr:uid="{00000000-0005-0000-0000-00009D1E0000}"/>
    <cellStyle name="Procent 8 2" xfId="4095" xr:uid="{00000000-0005-0000-0000-00009E1E0000}"/>
    <cellStyle name="Procent 8 2 2" xfId="4096" xr:uid="{00000000-0005-0000-0000-00009F1E0000}"/>
    <cellStyle name="Procent 8 2 2 2" xfId="4721" xr:uid="{00000000-0005-0000-0000-0000A01E0000}"/>
    <cellStyle name="Procent 8 2 2 2 2" xfId="7889" xr:uid="{00000000-0005-0000-0000-0000A11E0000}"/>
    <cellStyle name="Procent 8 2 2 3" xfId="7264" xr:uid="{00000000-0005-0000-0000-0000A21E0000}"/>
    <cellStyle name="Procent 8 2 3" xfId="4097" xr:uid="{00000000-0005-0000-0000-0000A31E0000}"/>
    <cellStyle name="Procent 8 2 3 2" xfId="4722" xr:uid="{00000000-0005-0000-0000-0000A41E0000}"/>
    <cellStyle name="Procent 8 2 3 2 2" xfId="7890" xr:uid="{00000000-0005-0000-0000-0000A51E0000}"/>
    <cellStyle name="Procent 8 2 3 3" xfId="7265" xr:uid="{00000000-0005-0000-0000-0000A61E0000}"/>
    <cellStyle name="Procent 8 2 4" xfId="4720" xr:uid="{00000000-0005-0000-0000-0000A71E0000}"/>
    <cellStyle name="Procent 8 2 4 2" xfId="7888" xr:uid="{00000000-0005-0000-0000-0000A81E0000}"/>
    <cellStyle name="Procent 8 2 5" xfId="7263" xr:uid="{00000000-0005-0000-0000-0000A91E0000}"/>
    <cellStyle name="Procent 8 3" xfId="4098" xr:uid="{00000000-0005-0000-0000-0000AA1E0000}"/>
    <cellStyle name="Procent 8 3 2" xfId="4723" xr:uid="{00000000-0005-0000-0000-0000AB1E0000}"/>
    <cellStyle name="Procent 8 3 2 2" xfId="7891" xr:uid="{00000000-0005-0000-0000-0000AC1E0000}"/>
    <cellStyle name="Procent 8 3 3" xfId="7266" xr:uid="{00000000-0005-0000-0000-0000AD1E0000}"/>
    <cellStyle name="Procent 8 4" xfId="4099" xr:uid="{00000000-0005-0000-0000-0000AE1E0000}"/>
    <cellStyle name="Procent 8 4 2" xfId="4724" xr:uid="{00000000-0005-0000-0000-0000AF1E0000}"/>
    <cellStyle name="Procent 8 4 2 2" xfId="7892" xr:uid="{00000000-0005-0000-0000-0000B01E0000}"/>
    <cellStyle name="Procent 8 4 3" xfId="7267" xr:uid="{00000000-0005-0000-0000-0000B11E0000}"/>
    <cellStyle name="Procent 8 5" xfId="4719" xr:uid="{00000000-0005-0000-0000-0000B21E0000}"/>
    <cellStyle name="Procent 8 5 2" xfId="7887" xr:uid="{00000000-0005-0000-0000-0000B31E0000}"/>
    <cellStyle name="Procent 8 6" xfId="7262" xr:uid="{00000000-0005-0000-0000-0000B41E0000}"/>
    <cellStyle name="Procent 9" xfId="4100" xr:uid="{00000000-0005-0000-0000-0000B51E0000}"/>
    <cellStyle name="Procent 9 2" xfId="4101" xr:uid="{00000000-0005-0000-0000-0000B61E0000}"/>
    <cellStyle name="Procent 9 2 2" xfId="4726" xr:uid="{00000000-0005-0000-0000-0000B71E0000}"/>
    <cellStyle name="Procent 9 2 2 2" xfId="7894" xr:uid="{00000000-0005-0000-0000-0000B81E0000}"/>
    <cellStyle name="Procent 9 2 3" xfId="7269" xr:uid="{00000000-0005-0000-0000-0000B91E0000}"/>
    <cellStyle name="Procent 9 3" xfId="4102" xr:uid="{00000000-0005-0000-0000-0000BA1E0000}"/>
    <cellStyle name="Procent 9 3 2" xfId="4727" xr:uid="{00000000-0005-0000-0000-0000BB1E0000}"/>
    <cellStyle name="Procent 9 3 2 2" xfId="7895" xr:uid="{00000000-0005-0000-0000-0000BC1E0000}"/>
    <cellStyle name="Procent 9 3 3" xfId="7270" xr:uid="{00000000-0005-0000-0000-0000BD1E0000}"/>
    <cellStyle name="Procent 9 4" xfId="4725" xr:uid="{00000000-0005-0000-0000-0000BE1E0000}"/>
    <cellStyle name="Procent 9 4 2" xfId="7893" xr:uid="{00000000-0005-0000-0000-0000BF1E0000}"/>
    <cellStyle name="Procent 9 5" xfId="7268" xr:uid="{00000000-0005-0000-0000-0000C01E0000}"/>
    <cellStyle name="Standard_Sce_D_Extraction" xfId="1991" xr:uid="{00000000-0005-0000-0000-0000C11E0000}"/>
    <cellStyle name="Testo avviso" xfId="1992" xr:uid="{00000000-0005-0000-0000-0000C21E0000}"/>
    <cellStyle name="Testo descrittivo" xfId="1993" xr:uid="{00000000-0005-0000-0000-0000C31E0000}"/>
    <cellStyle name="Titel 2" xfId="3453" xr:uid="{00000000-0005-0000-0000-0000C41E0000}"/>
    <cellStyle name="Title" xfId="3330" builtinId="15" customBuiltin="1"/>
    <cellStyle name="Title 2" xfId="3454" xr:uid="{00000000-0005-0000-0000-0000C61E0000}"/>
    <cellStyle name="Titolo" xfId="1994" xr:uid="{00000000-0005-0000-0000-0000C71E0000}"/>
    <cellStyle name="Titolo 1" xfId="1995" xr:uid="{00000000-0005-0000-0000-0000C81E0000}"/>
    <cellStyle name="Titolo 2" xfId="1996" xr:uid="{00000000-0005-0000-0000-0000C91E0000}"/>
    <cellStyle name="Titolo 3" xfId="1997" xr:uid="{00000000-0005-0000-0000-0000CA1E0000}"/>
    <cellStyle name="Titolo 4" xfId="1998" xr:uid="{00000000-0005-0000-0000-0000CB1E0000}"/>
    <cellStyle name="Total" xfId="3337" builtinId="25" customBuiltin="1"/>
    <cellStyle name="Total 2" xfId="3455" xr:uid="{00000000-0005-0000-0000-0000CD1E0000}"/>
    <cellStyle name="Total 2 2" xfId="3524" xr:uid="{00000000-0005-0000-0000-0000CE1E0000}"/>
    <cellStyle name="Totale" xfId="1999" xr:uid="{00000000-0005-0000-0000-0000CF1E0000}"/>
    <cellStyle name="Ugyldig 2" xfId="3318" xr:uid="{00000000-0005-0000-0000-0000D01E0000}"/>
    <cellStyle name="Uncertain" xfId="2000" xr:uid="{00000000-0005-0000-0000-0000D11E0000}"/>
    <cellStyle name="Valore non valido" xfId="2001" xr:uid="{00000000-0005-0000-0000-0000D21E0000}"/>
    <cellStyle name="Valore valido" xfId="2002" xr:uid="{00000000-0005-0000-0000-0000D31E0000}"/>
    <cellStyle name="Warning Text" xfId="3335" builtinId="11" customBuiltin="1"/>
    <cellStyle name="Warning Text 2" xfId="3456" xr:uid="{00000000-0005-0000-0000-0000D51E0000}"/>
    <cellStyle name="X08_Total Oil" xfId="3457" xr:uid="{00000000-0005-0000-0000-0000D61E0000}"/>
    <cellStyle name="X12_Total Figs 1 dec" xfId="3458" xr:uid="{00000000-0005-0000-0000-0000D71E0000}"/>
    <cellStyle name="Years" xfId="2003" xr:uid="{00000000-0005-0000-0000-0000D81E0000}"/>
    <cellStyle name="Обычный_CRF2002 (1)" xfId="2004" xr:uid="{00000000-0005-0000-0000-0000D91E0000}"/>
    <cellStyle name="Обычный_CRF2002 (1) 2" xfId="7900" xr:uid="{8660C481-FFFE-4C22-AB20-65AE4FDB6CF7}"/>
  </cellStyles>
  <dxfs count="15">
    <dxf>
      <fill>
        <patternFill>
          <bgColor theme="4" tint="0.79998168889431442"/>
        </patternFill>
      </fill>
    </dxf>
    <dxf>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ovedmenu - 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Hovedmenu - Main Menu'!A1"/></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72</xdr:row>
      <xdr:rowOff>47626</xdr:rowOff>
    </xdr:from>
    <xdr:to>
      <xdr:col>16</xdr:col>
      <xdr:colOff>711995</xdr:colOff>
      <xdr:row>97</xdr:row>
      <xdr:rowOff>114301</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7563" y="12465845"/>
          <a:ext cx="5700713" cy="4233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23810</xdr:colOff>
      <xdr:row>46</xdr:row>
      <xdr:rowOff>71437</xdr:rowOff>
    </xdr:from>
    <xdr:to>
      <xdr:col>17</xdr:col>
      <xdr:colOff>161923</xdr:colOff>
      <xdr:row>68</xdr:row>
      <xdr:rowOff>52387</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48" y="8155781"/>
          <a:ext cx="5912644"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AB229E2E-55CA-41EF-82AE-A515BDD1D17F}"/>
            </a:ext>
          </a:extLst>
        </xdr:cNvPr>
        <xdr:cNvSpPr/>
      </xdr:nvSpPr>
      <xdr:spPr bwMode="auto">
        <a:xfrm>
          <a:off x="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59A5BFA0-0A43-499E-908A-51F73182B8D8}"/>
            </a:ext>
          </a:extLst>
        </xdr:cNvPr>
        <xdr:cNvSpPr/>
      </xdr:nvSpPr>
      <xdr:spPr bwMode="auto">
        <a:xfrm>
          <a:off x="278130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 Menu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8783117B-58D3-4316-8A69-8833CDE91877}"/>
            </a:ext>
          </a:extLst>
        </xdr:cNvPr>
        <xdr:cNvSpPr/>
      </xdr:nvSpPr>
      <xdr:spPr bwMode="auto">
        <a:xfrm>
          <a:off x="0" y="259080"/>
          <a:ext cx="292608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1CB071E9-5034-432D-A84D-4DEB142CBC31}"/>
            </a:ext>
          </a:extLst>
        </xdr:cNvPr>
        <xdr:cNvSpPr/>
      </xdr:nvSpPr>
      <xdr:spPr bwMode="auto">
        <a:xfrm>
          <a:off x="2926080" y="259080"/>
          <a:ext cx="313182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a:t>
          </a:r>
          <a:r>
            <a:rPr lang="da-DK" sz="1200" b="1" baseline="0">
              <a:solidFill>
                <a:sysClr val="windowText" lastClr="000000"/>
              </a:solidFill>
            </a:rPr>
            <a:t> Menu</a:t>
          </a:r>
          <a:endParaRPr lang="da-DK" sz="1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ens.dk/ansvarsomraader/bioenergi/biogassens-klimaregnskab"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energinet.dk/Om-nyheder/Nyheder/2019/05/21/Det-danske-gassystem-kan-lagre-vindenergi" TargetMode="External"/><Relationship Id="rId1" Type="http://schemas.openxmlformats.org/officeDocument/2006/relationships/hyperlink" Target="https://www.sciencedirect.com/science/article/pii/S0360319915005418"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3"/>
  <sheetViews>
    <sheetView zoomScaleNormal="100" workbookViewId="0">
      <selection activeCell="E13" sqref="E13"/>
    </sheetView>
  </sheetViews>
  <sheetFormatPr defaultColWidth="9.140625" defaultRowHeight="12.75"/>
  <cols>
    <col min="1" max="1" width="11" style="98" bestFit="1" customWidth="1"/>
    <col min="2" max="2" width="23.140625" style="98" bestFit="1" customWidth="1"/>
    <col min="3" max="3" width="28" style="98" bestFit="1" customWidth="1"/>
    <col min="4" max="4" width="16.28515625" style="98" bestFit="1" customWidth="1"/>
    <col min="5" max="5" width="144.42578125" style="98" bestFit="1" customWidth="1"/>
    <col min="6" max="8" width="9.140625" style="98"/>
    <col min="9" max="9" width="13" style="98" customWidth="1"/>
    <col min="10" max="10" width="14.5703125" style="98" bestFit="1" customWidth="1"/>
    <col min="11" max="16384" width="9.140625" style="98"/>
  </cols>
  <sheetData>
    <row r="3" spans="1:5">
      <c r="A3" s="96" t="s">
        <v>182</v>
      </c>
      <c r="B3" s="97" t="s">
        <v>183</v>
      </c>
      <c r="C3" s="97" t="s">
        <v>184</v>
      </c>
      <c r="D3" s="97" t="s">
        <v>185</v>
      </c>
      <c r="E3" s="97" t="s">
        <v>186</v>
      </c>
    </row>
    <row r="4" spans="1:5" s="493" customFormat="1">
      <c r="A4" s="491">
        <v>43851</v>
      </c>
      <c r="B4" s="492" t="s">
        <v>822</v>
      </c>
      <c r="C4" s="492" t="s">
        <v>316</v>
      </c>
      <c r="D4" s="492" t="str">
        <f>ADDRESS(ROW('MIN-IMP-EXP'!E46),COLUMN('MIN-IMP-EXP'!E46),4,1)</f>
        <v>E46</v>
      </c>
      <c r="E4" s="492" t="s">
        <v>898</v>
      </c>
    </row>
    <row r="5" spans="1:5" s="493" customFormat="1">
      <c r="A5" s="491">
        <v>43187</v>
      </c>
      <c r="B5" s="492" t="s">
        <v>822</v>
      </c>
      <c r="C5" s="492" t="s">
        <v>316</v>
      </c>
      <c r="D5" s="492" t="str">
        <f>ADDRESS(ROW('MIN-IMP-EXP'!C68),COLUMN('MIN-IMP-EXP'!C68),4,1)</f>
        <v>C68</v>
      </c>
      <c r="E5" s="492" t="s">
        <v>840</v>
      </c>
    </row>
    <row r="6" spans="1:5" s="493" customFormat="1">
      <c r="A6" s="491">
        <v>43146</v>
      </c>
      <c r="B6" s="492" t="s">
        <v>831</v>
      </c>
      <c r="C6" s="492" t="s">
        <v>255</v>
      </c>
      <c r="D6" s="492" t="e">
        <f>ADDRESS(ROW('Fuel Tech'!#REF!),COLUMN('Fuel Tech'!#REF!),4,1)&amp;","&amp;ADDRESS(ROW('Fuel Tech'!#REF!),COLUMN('Fuel Tech'!#REF!),4,1)</f>
        <v>#REF!</v>
      </c>
      <c r="E6" s="492" t="s">
        <v>830</v>
      </c>
    </row>
    <row r="7" spans="1:5">
      <c r="A7" s="491">
        <v>43028</v>
      </c>
      <c r="B7" s="492" t="s">
        <v>822</v>
      </c>
      <c r="C7" s="492" t="s">
        <v>316</v>
      </c>
      <c r="D7" s="492"/>
      <c r="E7" s="492" t="s">
        <v>823</v>
      </c>
    </row>
    <row r="8" spans="1:5">
      <c r="A8" s="491">
        <v>42632</v>
      </c>
      <c r="B8" s="492" t="s">
        <v>786</v>
      </c>
      <c r="C8" s="492" t="s">
        <v>787</v>
      </c>
      <c r="D8" s="492"/>
      <c r="E8" s="492" t="s">
        <v>788</v>
      </c>
    </row>
    <row r="9" spans="1:5">
      <c r="A9" s="491">
        <v>42515</v>
      </c>
      <c r="B9" s="528" t="s">
        <v>712</v>
      </c>
      <c r="C9" s="528" t="s">
        <v>316</v>
      </c>
      <c r="D9" s="528"/>
      <c r="E9" s="528" t="s">
        <v>777</v>
      </c>
    </row>
    <row r="10" spans="1:5">
      <c r="A10" s="491">
        <v>42478</v>
      </c>
      <c r="B10" s="528" t="s">
        <v>368</v>
      </c>
      <c r="C10" s="528" t="s">
        <v>750</v>
      </c>
      <c r="D10" s="528"/>
      <c r="E10" s="528" t="s">
        <v>769</v>
      </c>
    </row>
    <row r="11" spans="1:5">
      <c r="A11" s="491">
        <v>42478</v>
      </c>
      <c r="B11" s="528" t="s">
        <v>368</v>
      </c>
      <c r="C11" s="528" t="s">
        <v>751</v>
      </c>
      <c r="D11" s="528"/>
      <c r="E11" s="528" t="s">
        <v>770</v>
      </c>
    </row>
    <row r="12" spans="1:5">
      <c r="A12" s="491">
        <v>42478</v>
      </c>
      <c r="B12" s="528" t="s">
        <v>368</v>
      </c>
      <c r="C12" s="528" t="s">
        <v>316</v>
      </c>
      <c r="D12" s="528" t="s">
        <v>774</v>
      </c>
      <c r="E12" s="528" t="s">
        <v>773</v>
      </c>
    </row>
    <row r="13" spans="1:5">
      <c r="A13" s="491">
        <v>42474</v>
      </c>
      <c r="B13" s="528" t="s">
        <v>765</v>
      </c>
      <c r="C13" s="492"/>
      <c r="D13" s="528"/>
      <c r="E13" s="528" t="s">
        <v>766</v>
      </c>
    </row>
    <row r="14" spans="1:5">
      <c r="A14" s="491">
        <v>42430</v>
      </c>
      <c r="B14" s="528" t="s">
        <v>712</v>
      </c>
      <c r="C14" s="492" t="s">
        <v>574</v>
      </c>
      <c r="D14" s="528" t="s">
        <v>740</v>
      </c>
      <c r="E14" s="528" t="s">
        <v>741</v>
      </c>
    </row>
    <row r="15" spans="1:5">
      <c r="A15" s="491">
        <v>42430</v>
      </c>
      <c r="B15" s="528" t="s">
        <v>712</v>
      </c>
      <c r="C15" s="98" t="s">
        <v>652</v>
      </c>
      <c r="D15" s="98" t="s">
        <v>742</v>
      </c>
      <c r="E15" s="98" t="s">
        <v>743</v>
      </c>
    </row>
    <row r="16" spans="1:5">
      <c r="A16" s="491">
        <v>42430</v>
      </c>
      <c r="B16" s="528" t="s">
        <v>712</v>
      </c>
      <c r="C16" s="492" t="s">
        <v>316</v>
      </c>
      <c r="D16" s="528" t="s">
        <v>739</v>
      </c>
      <c r="E16" s="528" t="s">
        <v>738</v>
      </c>
    </row>
    <row r="17" spans="1:5">
      <c r="A17" s="491">
        <v>42430</v>
      </c>
      <c r="B17" s="528" t="s">
        <v>712</v>
      </c>
      <c r="C17" s="492" t="s">
        <v>316</v>
      </c>
      <c r="D17" s="528" t="s">
        <v>713</v>
      </c>
      <c r="E17" s="528" t="s">
        <v>714</v>
      </c>
    </row>
    <row r="18" spans="1:5" s="493" customFormat="1">
      <c r="A18" s="491">
        <v>42318</v>
      </c>
      <c r="B18" s="492" t="s">
        <v>404</v>
      </c>
      <c r="C18" s="492" t="s">
        <v>652</v>
      </c>
      <c r="D18" s="492" t="str">
        <f>ADDRESS(ROW(ETS_NETS_Prices!E6),COLUMN(ETS_NETS_Prices!E6),4,1)&amp;":"&amp;ADDRESS(ROW(ETS_NETS_Prices!AS6),COLUMN(ETS_NETS_Prices!AS6),4,1)</f>
        <v>E6:AS6</v>
      </c>
      <c r="E18" s="492" t="s">
        <v>709</v>
      </c>
    </row>
    <row r="19" spans="1:5" s="493" customFormat="1">
      <c r="A19" s="491">
        <v>42313</v>
      </c>
      <c r="B19" s="492" t="s">
        <v>404</v>
      </c>
      <c r="C19" s="492" t="s">
        <v>316</v>
      </c>
      <c r="D19" s="492" t="str">
        <f>ADDRESS(ROW('MIN-IMP-EXP'!AV55),COLUMN('MIN-IMP-EXP'!AV55),4,1)&amp;":"&amp;ADDRESS(ROW('MIN-IMP-EXP'!AZ56),COLUMN('MIN-IMP-EXP'!AZ56),4,1)</f>
        <v>AV55:AZ56</v>
      </c>
      <c r="E19" s="492" t="s">
        <v>707</v>
      </c>
    </row>
    <row r="20" spans="1:5" s="493" customFormat="1">
      <c r="A20" s="491">
        <v>42313</v>
      </c>
      <c r="B20" s="492" t="s">
        <v>404</v>
      </c>
      <c r="C20" s="492" t="s">
        <v>652</v>
      </c>
      <c r="D20" s="492" t="str">
        <f>ADDRESS(ROW(ETS_NETS_Prices!B7),COLUMN(ETS_NETS_Prices!B7),4,1)&amp;":"&amp;ADDRESS(ROW(ETS_NETS_Prices!AS7),COLUMN(ETS_NETS_Prices!AS7),4,1)</f>
        <v>B7:AS7</v>
      </c>
      <c r="E20" s="492" t="s">
        <v>708</v>
      </c>
    </row>
    <row r="21" spans="1:5" s="489" customFormat="1">
      <c r="A21" s="455">
        <v>42312</v>
      </c>
      <c r="B21" s="454" t="s">
        <v>404</v>
      </c>
      <c r="C21" s="454" t="s">
        <v>344</v>
      </c>
      <c r="D21" s="454" t="str">
        <f>ADDRESS(ROW(Refineries!T6),COLUMN(Refineries!T6),4,1)&amp;":"&amp;ADDRESS(ROW(Refineries!T11),COLUMN(Refineries!T11),4,1)</f>
        <v>T6:T11</v>
      </c>
      <c r="E21" s="454" t="s">
        <v>691</v>
      </c>
    </row>
    <row r="22" spans="1:5">
      <c r="A22" s="455">
        <v>42116</v>
      </c>
      <c r="B22" s="242" t="s">
        <v>404</v>
      </c>
      <c r="C22" s="454" t="s">
        <v>316</v>
      </c>
      <c r="D22" s="242" t="s">
        <v>654</v>
      </c>
      <c r="E22" s="454" t="s">
        <v>655</v>
      </c>
    </row>
    <row r="23" spans="1:5">
      <c r="A23" s="241">
        <v>42116</v>
      </c>
      <c r="B23" s="242" t="s">
        <v>404</v>
      </c>
      <c r="C23" s="454" t="s">
        <v>652</v>
      </c>
      <c r="D23" s="242"/>
      <c r="E23" s="454" t="s">
        <v>653</v>
      </c>
    </row>
    <row r="24" spans="1:5" s="249" customFormat="1">
      <c r="A24" s="241">
        <v>42046</v>
      </c>
      <c r="B24" s="242" t="s">
        <v>404</v>
      </c>
      <c r="C24" s="242" t="s">
        <v>574</v>
      </c>
      <c r="D24" s="242" t="e">
        <f>ADDRESS(ROW('MIN-IMP-EXP'!#REF!),COLUMN('MIN-IMP-EXP'!#REF!),4,1)&amp;":"&amp;ADDRESS(ROW('MIN-IMP-EXP'!#REF!),COLUMN('MIN-IMP-EXP'!#REF!),4,1)</f>
        <v>#REF!</v>
      </c>
      <c r="E24" s="242" t="s">
        <v>644</v>
      </c>
    </row>
    <row r="25" spans="1:5" s="249" customFormat="1">
      <c r="A25" s="241">
        <v>42045</v>
      </c>
      <c r="B25" s="242" t="s">
        <v>404</v>
      </c>
      <c r="C25" s="242" t="s">
        <v>574</v>
      </c>
      <c r="D25" s="242" t="str">
        <f>ADDRESS(ROW(BiomassCost!B22),COLUMN(BiomassCost!B22),4,1)&amp;":"&amp;ADDRESS(ROW(BiomassCost!AC183),COLUMN(BiomassCost!AC183),4,1)</f>
        <v>B22:AC183</v>
      </c>
      <c r="E25" s="242" t="s">
        <v>575</v>
      </c>
    </row>
    <row r="26" spans="1:5" s="249" customFormat="1">
      <c r="A26" s="241">
        <v>42044</v>
      </c>
      <c r="B26" s="242" t="s">
        <v>368</v>
      </c>
      <c r="C26" s="242" t="s">
        <v>316</v>
      </c>
      <c r="D26" s="242" t="str">
        <f>ADDRESS(ROW('MIN-IMP-EXP'!B92),COLUMN('MIN-IMP-EXP'!B92),4,1)&amp;":"&amp;ADDRESS(ROW('MIN-IMP-EXP'!F101),COLUMN('MIN-IMP-EXP'!F101),4,1)</f>
        <v>B92:F101</v>
      </c>
      <c r="E26" s="242" t="s">
        <v>447</v>
      </c>
    </row>
    <row r="27" spans="1:5" s="249" customFormat="1">
      <c r="A27" s="241">
        <v>42044</v>
      </c>
      <c r="B27" s="242" t="s">
        <v>368</v>
      </c>
      <c r="C27" s="242" t="s">
        <v>196</v>
      </c>
      <c r="D27" s="242" t="str">
        <f>ADDRESS(ROW(Processes!B78),COLUMN(Processes!B78),4,1)&amp;":"&amp;ADDRESS(ROW(Processes!F87),COLUMN(Processes!F87),4,1)</f>
        <v>B78:F87</v>
      </c>
      <c r="E27" s="242" t="s">
        <v>446</v>
      </c>
    </row>
    <row r="28" spans="1:5" s="249" customFormat="1">
      <c r="A28" s="241">
        <v>42044</v>
      </c>
      <c r="B28" s="242" t="s">
        <v>368</v>
      </c>
      <c r="C28" s="242" t="s">
        <v>189</v>
      </c>
      <c r="D28" s="242" t="str">
        <f>ADDRESS(ROW(Commodities!B46),COLUMN(Commodities!B46),4,1)&amp;":"&amp;ADDRESS(ROW(Commodities!J59),COLUMN(Commodities!J59),4,1)</f>
        <v>B46:J59</v>
      </c>
      <c r="E28" s="242" t="s">
        <v>445</v>
      </c>
    </row>
    <row r="29" spans="1:5" s="249" customFormat="1">
      <c r="A29" s="241">
        <v>42044</v>
      </c>
      <c r="B29" s="242" t="s">
        <v>368</v>
      </c>
      <c r="C29" s="242" t="s">
        <v>255</v>
      </c>
      <c r="D29" s="242" t="e">
        <f>ADDRESS(ROW('Fuel Tech'!B7),COLUMN('Fuel Tech'!B7),4,1)&amp;":"&amp;ADDRESS(ROW('Fuel Tech'!#REF!),COLUMN('Fuel Tech'!#REF!),4,1)</f>
        <v>#REF!</v>
      </c>
      <c r="E29" s="242" t="s">
        <v>424</v>
      </c>
    </row>
    <row r="30" spans="1:5" s="249" customFormat="1">
      <c r="A30" s="241">
        <v>42044</v>
      </c>
      <c r="B30" s="242" t="s">
        <v>368</v>
      </c>
      <c r="C30" s="242" t="s">
        <v>196</v>
      </c>
      <c r="D30" s="242" t="str">
        <f>ADDRESS(ROW(Processes!D76),COLUMN(Processes!D76),4,1)&amp;":"&amp;ADDRESS(ROW(Processes!F77),COLUMN(Processes!F77),4,1)</f>
        <v>D76:F77</v>
      </c>
      <c r="E30" s="242" t="s">
        <v>423</v>
      </c>
    </row>
    <row r="31" spans="1:5" s="249" customFormat="1">
      <c r="A31" s="241">
        <v>42044</v>
      </c>
      <c r="B31" s="242" t="s">
        <v>368</v>
      </c>
      <c r="C31" s="242" t="s">
        <v>189</v>
      </c>
      <c r="D31" s="242" t="str">
        <f>ADDRESS(ROW(Commodities!B69),COLUMN(Commodities!B69),4,1)&amp;":"&amp;ADDRESS(ROW(Commodities!J71),COLUMN(Commodities!J71),4,1)</f>
        <v>B69:J71</v>
      </c>
      <c r="E31" s="242" t="s">
        <v>422</v>
      </c>
    </row>
    <row r="32" spans="1:5" s="249" customFormat="1">
      <c r="A32" s="241">
        <v>42026</v>
      </c>
      <c r="B32" s="242" t="s">
        <v>404</v>
      </c>
      <c r="C32" s="242" t="s">
        <v>316</v>
      </c>
      <c r="D32" s="242" t="str">
        <f>ADDRESS(ROW('MIN-IMP-EXP'!C55),COLUMN('MIN-IMP-EXP'!C55),4,1)&amp;":"&amp;ADDRESS(ROW('MIN-IMP-EXP'!CS56),COLUMN('MIN-IMP-EXP'!CS56),4,1)</f>
        <v>C55:CS56</v>
      </c>
      <c r="E32" s="242" t="s">
        <v>409</v>
      </c>
    </row>
    <row r="33" spans="1:5" s="249" customFormat="1">
      <c r="A33" s="241">
        <v>42026</v>
      </c>
      <c r="B33" s="242" t="s">
        <v>404</v>
      </c>
      <c r="C33" s="242" t="s">
        <v>407</v>
      </c>
      <c r="D33" s="242"/>
      <c r="E33" s="242" t="s">
        <v>408</v>
      </c>
    </row>
    <row r="34" spans="1:5" s="249" customFormat="1">
      <c r="A34" s="241">
        <v>42026</v>
      </c>
      <c r="B34" s="242" t="s">
        <v>404</v>
      </c>
      <c r="C34" s="242" t="s">
        <v>316</v>
      </c>
      <c r="D34" s="242" t="e">
        <f>ADDRESS(ROW('MIN-IMP-EXP'!#REF!),COLUMN('MIN-IMP-EXP'!#REF!),4,1)&amp;":"&amp;ADDRESS(ROW('MIN-IMP-EXP'!#REF!),COLUMN('MIN-IMP-EXP'!#REF!),4,1)</f>
        <v>#REF!</v>
      </c>
      <c r="E34" s="242" t="s">
        <v>406</v>
      </c>
    </row>
    <row r="35" spans="1:5" s="249" customFormat="1">
      <c r="A35" s="241">
        <v>42026</v>
      </c>
      <c r="B35" s="242" t="s">
        <v>404</v>
      </c>
      <c r="C35" s="242" t="s">
        <v>316</v>
      </c>
      <c r="D35" s="242" t="str">
        <f>ADDRESS(ROW('MIN-IMP-EXP'!C4),COLUMN('MIN-IMP-EXP'!C4),4,1)&amp;":"&amp;ADDRESS(ROW('MIN-IMP-EXP'!H19),COLUMN('MIN-IMP-EXP'!H19),4,1)</f>
        <v>C4:H19</v>
      </c>
      <c r="E35" s="242" t="s">
        <v>405</v>
      </c>
    </row>
    <row r="36" spans="1:5" s="249" customFormat="1">
      <c r="A36" s="241">
        <v>41956</v>
      </c>
      <c r="B36" s="242" t="s">
        <v>187</v>
      </c>
      <c r="C36" s="242" t="s">
        <v>316</v>
      </c>
      <c r="D36" s="242" t="str">
        <f>ADDRESS(ROW('MIN-IMP-EXP'!G26),COLUMN('MIN-IMP-EXP'!G26),4,1)</f>
        <v>G26</v>
      </c>
      <c r="E36" s="242" t="s">
        <v>370</v>
      </c>
    </row>
    <row r="37" spans="1:5">
      <c r="A37" s="241">
        <v>41909</v>
      </c>
      <c r="B37" s="242" t="s">
        <v>368</v>
      </c>
      <c r="C37" s="242" t="s">
        <v>316</v>
      </c>
      <c r="D37" s="242" t="str">
        <f>ADDRESS(ROW('MIN-IMP-EXP'!G26),COLUMN('MIN-IMP-EXP'!G26),4,1)</f>
        <v>G26</v>
      </c>
      <c r="E37" s="242" t="s">
        <v>369</v>
      </c>
    </row>
    <row r="38" spans="1:5" s="101" customFormat="1">
      <c r="A38" s="99">
        <v>41801</v>
      </c>
      <c r="B38" s="100" t="s">
        <v>187</v>
      </c>
      <c r="C38" s="100" t="s">
        <v>198</v>
      </c>
      <c r="D38" s="100" t="s">
        <v>199</v>
      </c>
      <c r="E38" s="100" t="s">
        <v>200</v>
      </c>
    </row>
    <row r="39" spans="1:5" s="101" customFormat="1">
      <c r="A39" s="99">
        <v>41801</v>
      </c>
      <c r="B39" s="100" t="s">
        <v>187</v>
      </c>
      <c r="C39" s="100" t="s">
        <v>196</v>
      </c>
      <c r="D39" s="100" t="s">
        <v>191</v>
      </c>
      <c r="E39" s="100" t="s">
        <v>197</v>
      </c>
    </row>
    <row r="40" spans="1:5" s="101" customFormat="1">
      <c r="A40" s="99">
        <v>41801</v>
      </c>
      <c r="B40" s="100" t="s">
        <v>187</v>
      </c>
      <c r="C40" s="100" t="s">
        <v>189</v>
      </c>
      <c r="D40" s="100" t="s">
        <v>194</v>
      </c>
      <c r="E40" s="100" t="s">
        <v>195</v>
      </c>
    </row>
    <row r="41" spans="1:5" s="101" customFormat="1">
      <c r="A41" s="99">
        <v>41801</v>
      </c>
      <c r="B41" s="100" t="s">
        <v>187</v>
      </c>
      <c r="C41" s="100" t="s">
        <v>189</v>
      </c>
      <c r="D41" s="100" t="s">
        <v>192</v>
      </c>
      <c r="E41" s="100" t="s">
        <v>193</v>
      </c>
    </row>
    <row r="42" spans="1:5" s="101" customFormat="1">
      <c r="A42" s="99">
        <v>41801</v>
      </c>
      <c r="B42" s="100" t="s">
        <v>187</v>
      </c>
      <c r="C42" s="100" t="s">
        <v>189</v>
      </c>
      <c r="D42" s="100" t="s">
        <v>191</v>
      </c>
      <c r="E42" s="100" t="s">
        <v>190</v>
      </c>
    </row>
    <row r="43" spans="1:5" s="101" customFormat="1">
      <c r="A43" s="99">
        <v>41802</v>
      </c>
      <c r="B43" s="100" t="s">
        <v>238</v>
      </c>
      <c r="C43" s="100" t="s">
        <v>198</v>
      </c>
      <c r="D43" s="100" t="s">
        <v>240</v>
      </c>
      <c r="E43" s="100" t="s">
        <v>239</v>
      </c>
    </row>
    <row r="44" spans="1:5" s="101" customFormat="1">
      <c r="A44" s="99">
        <v>41802</v>
      </c>
      <c r="B44" s="100" t="s">
        <v>245</v>
      </c>
      <c r="C44" s="100" t="s">
        <v>198</v>
      </c>
      <c r="D44" s="101" t="s">
        <v>247</v>
      </c>
      <c r="E44" s="100" t="s">
        <v>246</v>
      </c>
    </row>
    <row r="45" spans="1:5" s="101" customFormat="1">
      <c r="A45" s="99">
        <v>41802</v>
      </c>
      <c r="B45" s="100" t="s">
        <v>245</v>
      </c>
      <c r="C45" s="100" t="s">
        <v>255</v>
      </c>
      <c r="D45" s="101" t="s">
        <v>256</v>
      </c>
      <c r="E45" s="100" t="s">
        <v>257</v>
      </c>
    </row>
    <row r="46" spans="1:5" s="101" customFormat="1">
      <c r="A46" s="99">
        <v>41827</v>
      </c>
      <c r="B46" s="100" t="s">
        <v>315</v>
      </c>
      <c r="C46" s="100" t="s">
        <v>316</v>
      </c>
      <c r="D46" s="100" t="s">
        <v>318</v>
      </c>
      <c r="E46" s="100" t="s">
        <v>317</v>
      </c>
    </row>
    <row r="47" spans="1:5" s="101" customFormat="1">
      <c r="A47" s="99">
        <v>41828</v>
      </c>
      <c r="B47" s="100" t="s">
        <v>245</v>
      </c>
      <c r="C47" s="100" t="s">
        <v>341</v>
      </c>
      <c r="D47" s="100"/>
      <c r="E47" s="100" t="s">
        <v>342</v>
      </c>
    </row>
    <row r="48" spans="1:5" s="101" customFormat="1">
      <c r="A48" s="241">
        <v>41828</v>
      </c>
      <c r="B48" s="242" t="s">
        <v>343</v>
      </c>
      <c r="C48" s="242" t="s">
        <v>344</v>
      </c>
      <c r="D48" s="242" t="s">
        <v>345</v>
      </c>
      <c r="E48" s="242" t="s">
        <v>346</v>
      </c>
    </row>
    <row r="49" spans="1:5" s="101" customFormat="1">
      <c r="A49" s="241">
        <v>41828</v>
      </c>
      <c r="B49" s="242" t="s">
        <v>343</v>
      </c>
      <c r="C49" s="242" t="s">
        <v>344</v>
      </c>
      <c r="D49" s="242" t="s">
        <v>347</v>
      </c>
      <c r="E49" s="242" t="s">
        <v>348</v>
      </c>
    </row>
    <row r="50" spans="1:5" s="101" customFormat="1">
      <c r="A50" s="241">
        <v>41828</v>
      </c>
      <c r="B50" s="242" t="s">
        <v>343</v>
      </c>
      <c r="C50" s="242" t="s">
        <v>344</v>
      </c>
      <c r="D50" s="242" t="s">
        <v>349</v>
      </c>
      <c r="E50" s="242" t="s">
        <v>350</v>
      </c>
    </row>
    <row r="51" spans="1:5">
      <c r="A51" s="99"/>
      <c r="B51" s="102"/>
      <c r="C51" s="102"/>
      <c r="D51" s="103"/>
      <c r="E51" s="102"/>
    </row>
    <row r="52" spans="1:5">
      <c r="A52" s="104"/>
      <c r="B52" s="102"/>
      <c r="C52" s="102"/>
      <c r="D52" s="105"/>
      <c r="E52" s="105"/>
    </row>
    <row r="53" spans="1:5">
      <c r="A53" s="104"/>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workbookViewId="0">
      <selection activeCell="C141" sqref="C141"/>
    </sheetView>
  </sheetViews>
  <sheetFormatPr defaultRowHeight="12.75"/>
  <cols>
    <col min="2" max="2" width="39.7109375" bestFit="1" customWidth="1"/>
    <col min="3" max="3" width="108.5703125" bestFit="1" customWidth="1"/>
  </cols>
  <sheetData>
    <row r="2" spans="4:4">
      <c r="D2" s="263"/>
    </row>
    <row r="3" spans="4:4">
      <c r="D3" s="263"/>
    </row>
    <row r="4" spans="4:4">
      <c r="D4" s="263"/>
    </row>
    <row r="5" spans="4:4">
      <c r="D5" s="263"/>
    </row>
    <row r="6" spans="4:4">
      <c r="D6" s="263"/>
    </row>
    <row r="22" spans="2:29" ht="17.25">
      <c r="B22" s="419" t="s">
        <v>453</v>
      </c>
      <c r="C22" s="419"/>
      <c r="D22" s="419"/>
      <c r="E22" s="419"/>
      <c r="F22" s="419"/>
      <c r="G22" s="419"/>
      <c r="H22" s="419"/>
      <c r="I22" s="419"/>
      <c r="J22" s="419"/>
      <c r="K22" s="419"/>
      <c r="L22" s="419"/>
      <c r="M22" s="419"/>
      <c r="N22" s="419"/>
      <c r="O22" s="419"/>
      <c r="P22" s="419"/>
      <c r="Q22" s="419"/>
      <c r="R22" s="419"/>
      <c r="S22" s="419"/>
      <c r="T22" s="419"/>
      <c r="U22" s="419"/>
      <c r="V22" s="419"/>
      <c r="W22" s="419"/>
      <c r="X22" s="419"/>
      <c r="Y22" s="419"/>
      <c r="Z22" s="419"/>
      <c r="AA22" s="419"/>
      <c r="AB22" s="419"/>
      <c r="AC22" s="419"/>
    </row>
    <row r="23" spans="2:29">
      <c r="B23" s="311"/>
      <c r="C23" s="311"/>
      <c r="D23" s="311"/>
      <c r="E23" s="311"/>
      <c r="F23" s="311"/>
      <c r="G23" s="311"/>
      <c r="H23" s="311"/>
      <c r="I23" s="311"/>
      <c r="J23" s="311"/>
      <c r="K23" s="311"/>
      <c r="L23" s="311"/>
      <c r="M23" s="311"/>
      <c r="N23" s="311"/>
      <c r="O23" s="311"/>
      <c r="P23" s="311"/>
      <c r="Q23" s="311"/>
      <c r="R23" s="311"/>
      <c r="S23" s="311"/>
      <c r="T23" s="311"/>
      <c r="U23" s="311"/>
      <c r="V23" s="311"/>
      <c r="W23" s="311"/>
      <c r="X23" s="311"/>
      <c r="Y23" s="311"/>
      <c r="Z23" s="311"/>
      <c r="AA23" s="311"/>
      <c r="AB23" s="311"/>
      <c r="AC23" s="311"/>
    </row>
    <row r="24" spans="2:29" ht="15.75">
      <c r="B24" s="312" t="s">
        <v>454</v>
      </c>
      <c r="C24" s="312"/>
      <c r="D24" s="312"/>
      <c r="E24" s="312"/>
      <c r="F24" s="312"/>
      <c r="G24" s="312"/>
      <c r="H24" s="312"/>
      <c r="I24" s="312"/>
      <c r="J24" s="312"/>
      <c r="K24" s="312"/>
      <c r="L24" s="312"/>
      <c r="M24" s="312"/>
      <c r="N24" s="312"/>
      <c r="O24" s="312"/>
      <c r="P24" s="312"/>
      <c r="Q24" s="312"/>
      <c r="R24" s="312"/>
      <c r="S24" s="312"/>
      <c r="T24" s="312"/>
      <c r="U24" s="312"/>
      <c r="V24" s="312"/>
      <c r="W24" s="312"/>
      <c r="X24" s="312"/>
      <c r="Y24" s="312"/>
      <c r="Z24" s="312"/>
      <c r="AA24" s="312"/>
      <c r="AB24" s="312"/>
      <c r="AC24" s="312"/>
    </row>
    <row r="25" spans="2:29">
      <c r="B25" s="311"/>
      <c r="C25" s="311"/>
      <c r="D25" s="311"/>
      <c r="E25" s="311"/>
      <c r="F25" s="311"/>
      <c r="G25" s="311"/>
      <c r="H25" s="311"/>
      <c r="I25" s="311"/>
      <c r="J25" s="311"/>
      <c r="K25" s="311"/>
      <c r="L25" s="311"/>
      <c r="M25" s="311"/>
      <c r="N25" s="311"/>
      <c r="O25" s="311"/>
      <c r="P25" s="311"/>
      <c r="Q25" s="311"/>
      <c r="R25" s="311"/>
      <c r="S25" s="311"/>
      <c r="T25" s="311"/>
      <c r="U25" s="311"/>
      <c r="V25" s="311"/>
      <c r="W25" s="311"/>
      <c r="X25" s="311"/>
      <c r="Y25" s="311"/>
      <c r="Z25" s="311"/>
      <c r="AA25" s="311"/>
      <c r="AB25" s="311"/>
      <c r="AC25" s="311"/>
    </row>
    <row r="26" spans="2:29">
      <c r="B26" s="321"/>
      <c r="C26" s="321"/>
      <c r="D26" s="322"/>
      <c r="E26" s="321"/>
      <c r="F26" s="321"/>
      <c r="G26" s="321"/>
      <c r="H26" s="321"/>
      <c r="I26" s="321"/>
      <c r="J26" s="321"/>
      <c r="K26" s="321"/>
      <c r="L26" s="321"/>
      <c r="M26" s="321"/>
      <c r="N26" s="321"/>
      <c r="O26" s="321"/>
      <c r="P26" s="321"/>
      <c r="Q26" s="321"/>
      <c r="R26" s="321"/>
      <c r="S26" s="321" t="s">
        <v>455</v>
      </c>
      <c r="T26" s="322">
        <v>29</v>
      </c>
      <c r="U26" s="322">
        <v>47</v>
      </c>
      <c r="V26" s="322">
        <v>59</v>
      </c>
      <c r="W26" s="322">
        <v>61</v>
      </c>
      <c r="X26" s="322">
        <v>91</v>
      </c>
      <c r="Y26" s="322">
        <v>94</v>
      </c>
      <c r="Z26" s="322">
        <v>95</v>
      </c>
      <c r="AA26" s="321"/>
      <c r="AB26" s="321"/>
      <c r="AC26" s="321"/>
    </row>
    <row r="27" spans="2:29" ht="15">
      <c r="B27" s="321"/>
      <c r="C27" s="333" t="s">
        <v>456</v>
      </c>
      <c r="D27" s="322"/>
      <c r="E27" s="321"/>
      <c r="F27" s="321"/>
      <c r="G27" s="321"/>
      <c r="H27" s="321"/>
      <c r="I27" s="321"/>
      <c r="J27" s="321"/>
      <c r="K27" s="321"/>
      <c r="L27" s="321"/>
      <c r="M27" s="321"/>
      <c r="N27" s="321"/>
      <c r="O27" s="321"/>
      <c r="P27" s="321"/>
      <c r="Q27" s="321"/>
      <c r="R27" s="321"/>
      <c r="S27" s="321"/>
      <c r="T27" s="322" t="s">
        <v>457</v>
      </c>
      <c r="U27" s="322" t="s">
        <v>457</v>
      </c>
      <c r="V27" s="322" t="s">
        <v>167</v>
      </c>
      <c r="W27" s="322" t="s">
        <v>458</v>
      </c>
      <c r="X27" s="322" t="s">
        <v>458</v>
      </c>
      <c r="Y27" s="322" t="s">
        <v>458</v>
      </c>
      <c r="Z27" s="322" t="s">
        <v>458</v>
      </c>
      <c r="AA27" s="321"/>
      <c r="AB27" s="321"/>
      <c r="AC27" s="321"/>
    </row>
    <row r="28" spans="2:29" ht="89.25">
      <c r="B28" s="321"/>
      <c r="C28" s="330"/>
      <c r="D28" s="323"/>
      <c r="E28" s="356" t="s">
        <v>459</v>
      </c>
      <c r="F28" s="357" t="s">
        <v>460</v>
      </c>
      <c r="G28" s="357"/>
      <c r="H28" s="358" t="s">
        <v>461</v>
      </c>
      <c r="I28" s="359" t="s">
        <v>462</v>
      </c>
      <c r="J28" s="359" t="s">
        <v>463</v>
      </c>
      <c r="K28" s="360" t="s">
        <v>464</v>
      </c>
      <c r="L28" s="360" t="s">
        <v>465</v>
      </c>
      <c r="M28" s="360" t="s">
        <v>466</v>
      </c>
      <c r="N28" s="360" t="s">
        <v>467</v>
      </c>
      <c r="O28" s="360" t="s">
        <v>468</v>
      </c>
      <c r="P28" s="360" t="s">
        <v>469</v>
      </c>
      <c r="Q28" s="360" t="s">
        <v>470</v>
      </c>
      <c r="R28" s="360" t="s">
        <v>493</v>
      </c>
      <c r="S28" s="321"/>
      <c r="T28" s="321" t="s">
        <v>471</v>
      </c>
      <c r="U28" s="321" t="s">
        <v>471</v>
      </c>
      <c r="V28" s="321"/>
      <c r="W28" s="321"/>
      <c r="X28" s="321" t="s">
        <v>472</v>
      </c>
      <c r="Y28" s="321" t="s">
        <v>473</v>
      </c>
      <c r="Z28" s="321" t="s">
        <v>474</v>
      </c>
      <c r="AA28" s="321"/>
      <c r="AB28" s="321"/>
      <c r="AC28" s="321"/>
    </row>
    <row r="29" spans="2:29">
      <c r="B29" s="321"/>
      <c r="C29" s="331" t="s">
        <v>475</v>
      </c>
      <c r="D29" s="324"/>
      <c r="E29" s="361" t="s">
        <v>476</v>
      </c>
      <c r="F29" s="317" t="s">
        <v>477</v>
      </c>
      <c r="G29" s="317" t="s">
        <v>457</v>
      </c>
      <c r="H29" s="317" t="s">
        <v>476</v>
      </c>
      <c r="I29" s="324" t="s">
        <v>478</v>
      </c>
      <c r="J29" s="362" t="s">
        <v>167</v>
      </c>
      <c r="K29" s="363" t="s">
        <v>458</v>
      </c>
      <c r="L29" s="363" t="s">
        <v>458</v>
      </c>
      <c r="M29" s="363" t="s">
        <v>458</v>
      </c>
      <c r="N29" s="363"/>
      <c r="O29" s="363" t="s">
        <v>458</v>
      </c>
      <c r="P29" s="363" t="s">
        <v>458</v>
      </c>
      <c r="Q29" s="363" t="s">
        <v>167</v>
      </c>
      <c r="R29" s="363" t="s">
        <v>458</v>
      </c>
      <c r="S29" s="321"/>
      <c r="T29" s="321"/>
      <c r="U29" s="321"/>
      <c r="V29" s="321"/>
      <c r="W29" s="321"/>
      <c r="X29" s="321"/>
      <c r="Y29" s="321"/>
      <c r="Z29" s="321"/>
      <c r="AA29" s="321"/>
      <c r="AB29" s="321"/>
      <c r="AC29" s="321"/>
    </row>
    <row r="30" spans="2:29">
      <c r="B30" s="321"/>
      <c r="C30" s="330" t="s">
        <v>479</v>
      </c>
      <c r="D30" s="364"/>
      <c r="E30" s="365">
        <v>17</v>
      </c>
      <c r="F30" s="366">
        <v>72.400000000000006</v>
      </c>
      <c r="G30" s="421">
        <v>72.400000000000006</v>
      </c>
      <c r="H30" s="367">
        <v>1.8</v>
      </c>
      <c r="I30" s="368"/>
      <c r="J30" s="424">
        <v>0.90400000000000003</v>
      </c>
      <c r="K30" s="369">
        <v>16.739999999999998</v>
      </c>
      <c r="L30" s="435">
        <v>5.3000000000000001E-5</v>
      </c>
      <c r="M30" s="438">
        <v>7.3800000000000004E-2</v>
      </c>
      <c r="N30" s="370"/>
      <c r="O30" s="427"/>
      <c r="P30" s="369">
        <v>7.22</v>
      </c>
      <c r="Q30" s="410">
        <v>0</v>
      </c>
      <c r="R30" s="431">
        <v>23.96</v>
      </c>
      <c r="S30" s="321"/>
      <c r="T30" s="321"/>
      <c r="U30" s="321"/>
      <c r="V30" s="321"/>
      <c r="W30" s="321"/>
      <c r="X30" s="321"/>
      <c r="Y30" s="321"/>
      <c r="Z30" s="321"/>
      <c r="AA30" s="321"/>
      <c r="AB30" s="321"/>
      <c r="AC30" s="321"/>
    </row>
    <row r="31" spans="2:29">
      <c r="B31" s="321"/>
      <c r="C31" s="332" t="s">
        <v>480</v>
      </c>
      <c r="D31" s="371"/>
      <c r="E31" s="372">
        <v>19</v>
      </c>
      <c r="F31" s="372">
        <v>10.6</v>
      </c>
      <c r="G31" s="422">
        <v>10.6</v>
      </c>
      <c r="H31" s="373">
        <v>1.8</v>
      </c>
      <c r="I31" s="374"/>
      <c r="J31" s="425">
        <v>0.91400000000000003</v>
      </c>
      <c r="K31" s="375">
        <v>9.26</v>
      </c>
      <c r="L31" s="436">
        <v>4.6999999999999997E-5</v>
      </c>
      <c r="M31" s="439">
        <v>6.6000000000000003E-2</v>
      </c>
      <c r="N31" s="376"/>
      <c r="O31" s="428"/>
      <c r="P31" s="375">
        <v>9.44</v>
      </c>
      <c r="Q31" s="411">
        <v>0</v>
      </c>
      <c r="R31" s="432">
        <v>18.7</v>
      </c>
      <c r="S31" s="321"/>
      <c r="T31" s="321"/>
      <c r="U31" s="321"/>
      <c r="V31" s="321"/>
      <c r="W31" s="321"/>
      <c r="X31" s="321"/>
      <c r="Y31" s="321"/>
      <c r="Z31" s="321"/>
      <c r="AA31" s="321"/>
      <c r="AB31" s="321"/>
      <c r="AC31" s="321"/>
    </row>
    <row r="32" spans="2:29">
      <c r="B32" s="321"/>
      <c r="C32" s="332" t="s">
        <v>481</v>
      </c>
      <c r="D32" s="371"/>
      <c r="E32" s="372">
        <v>14.5</v>
      </c>
      <c r="F32" s="372">
        <v>40.9</v>
      </c>
      <c r="G32" s="422">
        <v>40.9</v>
      </c>
      <c r="H32" s="373">
        <v>0.53</v>
      </c>
      <c r="I32" s="377"/>
      <c r="J32" s="425">
        <v>0.96499999999999997</v>
      </c>
      <c r="K32" s="375">
        <v>2.5099999999999998</v>
      </c>
      <c r="L32" s="436">
        <v>1.8E-5</v>
      </c>
      <c r="M32" s="439">
        <v>2.53E-2</v>
      </c>
      <c r="N32" s="376"/>
      <c r="O32" s="428"/>
      <c r="P32" s="375">
        <v>9.25</v>
      </c>
      <c r="Q32" s="411">
        <v>0</v>
      </c>
      <c r="R32" s="433">
        <v>11.76</v>
      </c>
      <c r="S32" s="321"/>
      <c r="T32" s="321"/>
      <c r="U32" s="321"/>
      <c r="V32" s="321"/>
      <c r="W32" s="321"/>
      <c r="X32" s="321"/>
      <c r="Y32" s="321"/>
      <c r="Z32" s="321"/>
      <c r="AA32" s="321"/>
      <c r="AB32" s="321"/>
      <c r="AC32" s="321"/>
    </row>
    <row r="33" spans="2:29">
      <c r="B33" s="321"/>
      <c r="C33" s="332" t="s">
        <v>482</v>
      </c>
      <c r="D33" s="371"/>
      <c r="E33" s="372">
        <v>27</v>
      </c>
      <c r="F33" s="372">
        <v>101.7</v>
      </c>
      <c r="G33" s="422">
        <v>101.7</v>
      </c>
      <c r="H33" s="373">
        <v>6.23</v>
      </c>
      <c r="I33" s="377"/>
      <c r="J33" s="425">
        <v>0.81200000000000006</v>
      </c>
      <c r="K33" s="375">
        <v>35.880000000000003</v>
      </c>
      <c r="L33" s="436">
        <v>1.15E-4</v>
      </c>
      <c r="M33" s="439">
        <v>0.161</v>
      </c>
      <c r="N33" s="376"/>
      <c r="O33" s="428"/>
      <c r="P33" s="375">
        <v>32.61</v>
      </c>
      <c r="Q33" s="411">
        <v>0</v>
      </c>
      <c r="R33" s="432">
        <v>68.489999999999995</v>
      </c>
      <c r="S33" s="321"/>
      <c r="T33" s="321"/>
      <c r="U33" s="321"/>
      <c r="V33" s="321"/>
      <c r="W33" s="321"/>
      <c r="X33" s="321"/>
      <c r="Y33" s="321"/>
      <c r="Z33" s="321"/>
      <c r="AA33" s="321"/>
      <c r="AB33" s="321"/>
      <c r="AC33" s="321"/>
    </row>
    <row r="34" spans="2:29" s="490" customFormat="1">
      <c r="B34" s="533"/>
      <c r="C34" s="536" t="s">
        <v>719</v>
      </c>
      <c r="D34" s="544"/>
      <c r="E34" s="545">
        <v>37</v>
      </c>
      <c r="F34" s="545">
        <v>148.80000000000001</v>
      </c>
      <c r="G34" s="552">
        <v>148.80000000000001</v>
      </c>
      <c r="H34" s="546">
        <v>9.67</v>
      </c>
      <c r="I34" s="549"/>
      <c r="J34" s="553">
        <v>0.79300000000000004</v>
      </c>
      <c r="K34" s="547">
        <v>48.61</v>
      </c>
      <c r="L34" s="555">
        <v>0</v>
      </c>
      <c r="M34" s="556">
        <v>0</v>
      </c>
      <c r="N34" s="548"/>
      <c r="O34" s="428"/>
      <c r="P34" s="547">
        <v>50.6</v>
      </c>
      <c r="Q34" s="411">
        <v>0</v>
      </c>
      <c r="R34" s="554">
        <v>99.21</v>
      </c>
      <c r="S34" s="533"/>
      <c r="T34" s="533"/>
      <c r="U34" s="533"/>
      <c r="V34" s="533"/>
      <c r="W34" s="533"/>
      <c r="X34" s="533"/>
      <c r="Y34" s="533"/>
      <c r="Z34" s="533"/>
      <c r="AA34" s="533"/>
      <c r="AB34" s="533"/>
      <c r="AC34" s="533"/>
    </row>
    <row r="35" spans="2:29">
      <c r="B35" s="321"/>
      <c r="C35" s="332" t="s">
        <v>483</v>
      </c>
      <c r="D35" s="371"/>
      <c r="E35" s="372">
        <v>39.5</v>
      </c>
      <c r="F35" s="372">
        <v>69.8</v>
      </c>
      <c r="G35" s="422">
        <v>69.8</v>
      </c>
      <c r="H35" s="373">
        <v>6.71</v>
      </c>
      <c r="I35" s="377"/>
      <c r="J35" s="425">
        <v>0.85499999999999998</v>
      </c>
      <c r="K35" s="375">
        <v>13</v>
      </c>
      <c r="L35" s="436">
        <v>7.2999999999999999E-5</v>
      </c>
      <c r="M35" s="439">
        <v>9.4000000000000004E-3</v>
      </c>
      <c r="N35" s="376"/>
      <c r="O35" s="428"/>
      <c r="P35" s="375">
        <v>0</v>
      </c>
      <c r="Q35" s="411">
        <v>0</v>
      </c>
      <c r="R35" s="432">
        <v>13</v>
      </c>
      <c r="S35" s="321"/>
      <c r="T35" s="321"/>
      <c r="U35" s="415">
        <v>4.5999999999999999E-2</v>
      </c>
    </row>
    <row r="36" spans="2:29">
      <c r="B36" s="321"/>
      <c r="C36" s="378" t="s">
        <v>484</v>
      </c>
      <c r="D36" s="371"/>
      <c r="E36" s="372">
        <v>17.399999999999999</v>
      </c>
      <c r="F36" s="372">
        <v>48.1</v>
      </c>
      <c r="G36" s="422">
        <v>48.1</v>
      </c>
      <c r="H36" s="373">
        <v>0.67</v>
      </c>
      <c r="I36" s="377"/>
      <c r="J36" s="425">
        <v>0.96299999999999997</v>
      </c>
      <c r="K36" s="375">
        <v>5.4</v>
      </c>
      <c r="L36" s="436">
        <v>1.9000000000000001E-5</v>
      </c>
      <c r="M36" s="439">
        <v>2.6800000000000001E-2</v>
      </c>
      <c r="N36" s="376"/>
      <c r="O36" s="428"/>
      <c r="P36" s="375">
        <v>-2.15</v>
      </c>
      <c r="Q36" s="411">
        <v>0</v>
      </c>
      <c r="R36" s="432">
        <v>3.25</v>
      </c>
      <c r="S36" s="321"/>
      <c r="T36" s="321"/>
      <c r="U36" s="321"/>
    </row>
    <row r="37" spans="2:29">
      <c r="B37" s="321"/>
      <c r="C37" s="332" t="s">
        <v>485</v>
      </c>
      <c r="D37" s="371"/>
      <c r="E37" s="372">
        <v>17.399999999999999</v>
      </c>
      <c r="F37" s="372">
        <v>65.5</v>
      </c>
      <c r="G37" s="422">
        <v>65.5</v>
      </c>
      <c r="H37" s="373">
        <v>0.67</v>
      </c>
      <c r="I37" s="377"/>
      <c r="J37" s="425">
        <v>0.96299999999999997</v>
      </c>
      <c r="K37" s="375">
        <v>5.4</v>
      </c>
      <c r="L37" s="436">
        <v>1.9000000000000001E-5</v>
      </c>
      <c r="M37" s="439">
        <v>2.6800000000000001E-2</v>
      </c>
      <c r="N37" s="376"/>
      <c r="O37" s="428"/>
      <c r="P37" s="375">
        <v>-2.15</v>
      </c>
      <c r="Q37" s="411">
        <v>0</v>
      </c>
      <c r="R37" s="432">
        <v>3.25</v>
      </c>
      <c r="S37" s="321"/>
      <c r="T37" s="321"/>
      <c r="U37" s="321"/>
    </row>
    <row r="38" spans="2:29">
      <c r="B38" s="321"/>
      <c r="C38" s="332" t="s">
        <v>486</v>
      </c>
      <c r="D38" s="371"/>
      <c r="E38" s="372">
        <v>1</v>
      </c>
      <c r="F38" s="372">
        <v>72.5</v>
      </c>
      <c r="G38" s="422">
        <v>72.5</v>
      </c>
      <c r="H38" s="373">
        <v>0.05</v>
      </c>
      <c r="I38" s="377"/>
      <c r="J38" s="425">
        <v>0.94899999999999995</v>
      </c>
      <c r="K38" s="375">
        <v>0.26</v>
      </c>
      <c r="L38" s="436">
        <v>2.6999999999999999E-5</v>
      </c>
      <c r="M38" s="439">
        <v>3.7499999999999999E-2</v>
      </c>
      <c r="N38" s="376"/>
      <c r="O38" s="429"/>
      <c r="P38" s="375">
        <v>0</v>
      </c>
      <c r="Q38" s="411">
        <v>0</v>
      </c>
      <c r="R38" s="432">
        <v>0.26</v>
      </c>
      <c r="S38" s="321"/>
      <c r="T38" s="321"/>
      <c r="U38" s="321"/>
    </row>
    <row r="39" spans="2:29">
      <c r="B39" s="321"/>
      <c r="C39" s="332" t="s">
        <v>487</v>
      </c>
      <c r="D39" s="371"/>
      <c r="E39" s="372">
        <v>1</v>
      </c>
      <c r="F39" s="372"/>
      <c r="G39" s="422">
        <v>72.5</v>
      </c>
      <c r="H39" s="373">
        <v>0.05</v>
      </c>
      <c r="I39" s="377"/>
      <c r="J39" s="425">
        <v>0.94899999999999995</v>
      </c>
      <c r="K39" s="375">
        <v>0.26</v>
      </c>
      <c r="L39" s="436">
        <v>2.6999999999999999E-5</v>
      </c>
      <c r="M39" s="439">
        <v>3.7499999999999999E-2</v>
      </c>
      <c r="N39" s="376"/>
      <c r="O39" s="429"/>
      <c r="P39" s="375">
        <v>0</v>
      </c>
      <c r="Q39" s="411">
        <v>0</v>
      </c>
      <c r="R39" s="432">
        <v>0.26</v>
      </c>
      <c r="S39" s="321"/>
      <c r="T39" s="321"/>
      <c r="U39" s="321"/>
    </row>
    <row r="40" spans="2:29">
      <c r="B40" s="321"/>
      <c r="C40" s="332" t="s">
        <v>488</v>
      </c>
      <c r="D40" s="371"/>
      <c r="E40" s="372">
        <v>26.5</v>
      </c>
      <c r="F40" s="372">
        <v>20.2</v>
      </c>
      <c r="G40" s="422">
        <v>20.2</v>
      </c>
      <c r="H40" s="373">
        <v>2.36</v>
      </c>
      <c r="I40" s="377"/>
      <c r="J40" s="425">
        <v>0.91800000000000004</v>
      </c>
      <c r="K40" s="375">
        <v>15.32</v>
      </c>
      <c r="L40" s="436">
        <v>4.5000000000000003E-5</v>
      </c>
      <c r="M40" s="439">
        <v>6.2100000000000002E-2</v>
      </c>
      <c r="N40" s="376"/>
      <c r="O40" s="428"/>
      <c r="P40" s="375">
        <v>0</v>
      </c>
      <c r="Q40" s="411">
        <v>0</v>
      </c>
      <c r="R40" s="432">
        <v>15.32</v>
      </c>
      <c r="S40" s="321"/>
      <c r="T40" s="321"/>
      <c r="U40" s="321"/>
    </row>
    <row r="41" spans="2:29">
      <c r="B41" s="321"/>
      <c r="C41" s="332" t="s">
        <v>489</v>
      </c>
      <c r="D41" s="371"/>
      <c r="E41" s="372">
        <v>43</v>
      </c>
      <c r="F41" s="372">
        <v>102.2</v>
      </c>
      <c r="G41" s="422">
        <v>102.2</v>
      </c>
      <c r="H41" s="373">
        <v>9.08</v>
      </c>
      <c r="I41" s="377"/>
      <c r="J41" s="425">
        <v>0.82599999999999996</v>
      </c>
      <c r="K41" s="375">
        <v>22.6</v>
      </c>
      <c r="L41" s="436">
        <v>1.06E-4</v>
      </c>
      <c r="M41" s="439">
        <v>0.14729999999999999</v>
      </c>
      <c r="N41" s="376"/>
      <c r="O41" s="428"/>
      <c r="P41" s="375">
        <v>0</v>
      </c>
      <c r="Q41" s="411">
        <v>0</v>
      </c>
      <c r="R41" s="432">
        <v>22.6</v>
      </c>
      <c r="S41" s="321"/>
      <c r="T41" s="321"/>
      <c r="U41" s="321"/>
    </row>
    <row r="42" spans="2:29">
      <c r="B42" s="321"/>
      <c r="C42" s="332" t="s">
        <v>490</v>
      </c>
      <c r="D42" s="371"/>
      <c r="E42" s="372">
        <v>0.6</v>
      </c>
      <c r="F42" s="372">
        <v>47.2</v>
      </c>
      <c r="G42" s="422">
        <v>47.2</v>
      </c>
      <c r="H42" s="373">
        <v>0</v>
      </c>
      <c r="I42" s="377"/>
      <c r="J42" s="425">
        <v>1</v>
      </c>
      <c r="K42" s="375">
        <v>3.53</v>
      </c>
      <c r="L42" s="436">
        <v>0</v>
      </c>
      <c r="M42" s="439">
        <v>0</v>
      </c>
      <c r="N42" s="376"/>
      <c r="O42" s="428"/>
      <c r="P42" s="375">
        <v>0</v>
      </c>
      <c r="Q42" s="411">
        <v>0</v>
      </c>
      <c r="R42" s="432">
        <v>3.53</v>
      </c>
      <c r="S42" s="321"/>
      <c r="T42" s="321"/>
      <c r="U42" s="321"/>
    </row>
    <row r="43" spans="2:29">
      <c r="B43" s="321"/>
      <c r="C43" s="332" t="s">
        <v>491</v>
      </c>
      <c r="D43" s="371"/>
      <c r="E43" s="372">
        <v>26.8</v>
      </c>
      <c r="F43" s="372">
        <v>207.6</v>
      </c>
      <c r="G43" s="422">
        <v>207.6</v>
      </c>
      <c r="H43" s="373">
        <v>4.7699999999999996</v>
      </c>
      <c r="I43" s="377"/>
      <c r="J43" s="425">
        <v>0.84899999999999998</v>
      </c>
      <c r="K43" s="375">
        <v>24.16</v>
      </c>
      <c r="L43" s="436">
        <v>7.7000000000000001E-5</v>
      </c>
      <c r="M43" s="439">
        <v>9.7999999999999997E-3</v>
      </c>
      <c r="N43" s="376"/>
      <c r="O43" s="429"/>
      <c r="P43" s="375">
        <v>0</v>
      </c>
      <c r="Q43" s="411">
        <v>0</v>
      </c>
      <c r="R43" s="432">
        <v>24.16</v>
      </c>
      <c r="S43" s="321"/>
      <c r="T43" s="321"/>
      <c r="U43" s="321"/>
    </row>
    <row r="44" spans="2:29">
      <c r="B44" s="321"/>
      <c r="C44" s="331" t="s">
        <v>492</v>
      </c>
      <c r="D44" s="379"/>
      <c r="E44" s="380">
        <v>37</v>
      </c>
      <c r="F44" s="380">
        <v>162.9</v>
      </c>
      <c r="G44" s="423">
        <v>162.9</v>
      </c>
      <c r="H44" s="381">
        <v>11.14</v>
      </c>
      <c r="I44" s="382"/>
      <c r="J44" s="426">
        <v>0.76900000000000002</v>
      </c>
      <c r="K44" s="383">
        <v>67.930000000000007</v>
      </c>
      <c r="L44" s="437">
        <v>1.5100000000000001E-4</v>
      </c>
      <c r="M44" s="440">
        <v>0.21010000000000001</v>
      </c>
      <c r="N44" s="384"/>
      <c r="O44" s="430"/>
      <c r="P44" s="383">
        <v>0</v>
      </c>
      <c r="Q44" s="412">
        <v>0</v>
      </c>
      <c r="R44" s="434">
        <v>67.930000000000007</v>
      </c>
      <c r="S44" s="321"/>
      <c r="T44" s="321"/>
      <c r="U44" s="321"/>
    </row>
    <row r="45" spans="2:29">
      <c r="B45" s="321"/>
      <c r="C45" s="321" t="s">
        <v>720</v>
      </c>
      <c r="D45" s="322"/>
      <c r="E45" s="321"/>
      <c r="F45" s="321"/>
      <c r="G45" s="321"/>
      <c r="H45" s="321"/>
      <c r="I45" s="321"/>
      <c r="J45" s="321"/>
      <c r="K45" s="321"/>
      <c r="L45" s="321"/>
      <c r="M45" s="321"/>
      <c r="N45" s="321"/>
      <c r="O45" s="321"/>
      <c r="P45" s="321"/>
      <c r="Q45" s="321"/>
      <c r="R45" s="321"/>
      <c r="S45" s="321"/>
      <c r="T45" s="321"/>
      <c r="U45" s="321"/>
    </row>
    <row r="46" spans="2:29">
      <c r="B46" s="311"/>
      <c r="C46" s="311"/>
      <c r="D46" s="311"/>
      <c r="E46" s="311"/>
      <c r="F46" s="311"/>
      <c r="G46" s="311"/>
      <c r="H46" s="311"/>
      <c r="I46" s="311"/>
      <c r="J46" s="311"/>
      <c r="K46" s="311"/>
      <c r="L46" s="311"/>
      <c r="M46" s="311"/>
      <c r="N46" s="311"/>
      <c r="O46" s="311"/>
      <c r="P46" s="311"/>
      <c r="Q46" s="311"/>
      <c r="R46" s="311"/>
      <c r="S46" s="311"/>
      <c r="T46" s="311"/>
      <c r="U46" s="311"/>
    </row>
    <row r="47" spans="2:29" ht="15.75">
      <c r="B47" s="312" t="s">
        <v>494</v>
      </c>
      <c r="C47" s="312"/>
      <c r="D47" s="312"/>
      <c r="E47" s="312"/>
      <c r="F47" s="312"/>
      <c r="G47" s="312"/>
      <c r="H47" s="312"/>
      <c r="I47" s="312"/>
      <c r="J47" s="312"/>
      <c r="K47" s="312"/>
      <c r="L47" s="312"/>
      <c r="M47" s="312"/>
      <c r="N47" s="312"/>
      <c r="O47" s="312"/>
      <c r="P47" s="312"/>
      <c r="Q47" s="312"/>
      <c r="R47" s="312"/>
      <c r="S47" s="312"/>
      <c r="T47" s="312"/>
      <c r="U47" s="312"/>
    </row>
    <row r="48" spans="2:29">
      <c r="B48" s="311"/>
      <c r="C48" s="311"/>
      <c r="D48" s="311"/>
      <c r="E48" s="311"/>
      <c r="F48" s="311"/>
      <c r="G48" s="311"/>
      <c r="H48" s="311"/>
      <c r="I48" s="311"/>
      <c r="J48" s="311"/>
      <c r="K48" s="311"/>
      <c r="L48" s="311"/>
      <c r="M48" s="311"/>
      <c r="N48" s="311"/>
      <c r="O48" s="311"/>
      <c r="P48" s="311"/>
      <c r="Q48" s="311"/>
      <c r="R48" s="311"/>
      <c r="S48" s="311"/>
      <c r="T48" s="311"/>
      <c r="U48" s="311"/>
    </row>
    <row r="49" spans="2:21">
      <c r="B49" s="313"/>
      <c r="C49" s="313"/>
      <c r="D49" s="313"/>
      <c r="E49" s="313"/>
      <c r="F49" s="313"/>
      <c r="G49" s="313"/>
      <c r="H49" s="313"/>
      <c r="I49" s="313"/>
      <c r="J49" s="313"/>
      <c r="K49" s="313"/>
      <c r="L49" s="313"/>
      <c r="M49" s="313"/>
      <c r="N49" s="313"/>
      <c r="O49" s="313"/>
      <c r="P49" s="313"/>
      <c r="Q49" s="313"/>
      <c r="R49" s="313"/>
      <c r="S49" s="313"/>
      <c r="T49" s="313"/>
      <c r="U49" s="313"/>
    </row>
    <row r="50" spans="2:21" ht="15">
      <c r="B50" s="313"/>
      <c r="C50" s="385" t="s">
        <v>495</v>
      </c>
      <c r="D50" s="313"/>
      <c r="E50" s="313"/>
      <c r="F50" s="313"/>
      <c r="G50" s="313"/>
      <c r="H50" s="313"/>
      <c r="I50" s="385" t="s">
        <v>496</v>
      </c>
      <c r="J50" s="313"/>
      <c r="K50" s="313"/>
      <c r="L50" s="313"/>
      <c r="M50" s="313"/>
      <c r="N50" s="313"/>
      <c r="O50" s="313"/>
      <c r="P50" s="313"/>
      <c r="Q50" s="313"/>
      <c r="R50" s="313"/>
      <c r="S50" s="313"/>
      <c r="T50" s="313"/>
      <c r="U50" s="313"/>
    </row>
    <row r="51" spans="2:21">
      <c r="C51" s="340" t="s">
        <v>497</v>
      </c>
      <c r="D51" s="340" t="s">
        <v>6</v>
      </c>
      <c r="E51" s="350" t="s">
        <v>721</v>
      </c>
      <c r="F51" s="350" t="s">
        <v>498</v>
      </c>
      <c r="G51" s="350" t="s">
        <v>499</v>
      </c>
      <c r="H51" s="313"/>
      <c r="I51" s="319"/>
      <c r="J51" s="386" t="s">
        <v>500</v>
      </c>
      <c r="K51" s="387" t="s">
        <v>501</v>
      </c>
      <c r="L51" s="313"/>
      <c r="M51" s="313"/>
    </row>
    <row r="52" spans="2:21">
      <c r="C52" s="319" t="s">
        <v>479</v>
      </c>
      <c r="D52" s="319" t="s">
        <v>458</v>
      </c>
      <c r="E52" s="388">
        <v>5.0000000000000002E-5</v>
      </c>
      <c r="F52" s="347">
        <v>7.0000000000000007E-2</v>
      </c>
      <c r="G52" s="343" t="s">
        <v>502</v>
      </c>
      <c r="H52" s="313"/>
      <c r="I52" s="351" t="s">
        <v>502</v>
      </c>
      <c r="J52" s="389">
        <v>0.5</v>
      </c>
      <c r="K52" s="369">
        <v>697.7</v>
      </c>
      <c r="L52" s="313"/>
      <c r="M52" s="320"/>
    </row>
    <row r="53" spans="2:21">
      <c r="C53" s="319" t="s">
        <v>480</v>
      </c>
      <c r="D53" s="319" t="s">
        <v>458</v>
      </c>
      <c r="E53" s="388">
        <v>5.0000000000000002E-5</v>
      </c>
      <c r="F53" s="347">
        <v>7.0000000000000007E-2</v>
      </c>
      <c r="G53" s="343" t="s">
        <v>502</v>
      </c>
      <c r="H53" s="313"/>
      <c r="I53" s="352" t="s">
        <v>483</v>
      </c>
      <c r="J53" s="390">
        <v>0.43</v>
      </c>
      <c r="K53" s="375">
        <v>55</v>
      </c>
      <c r="L53" s="313"/>
      <c r="M53" s="320"/>
    </row>
    <row r="54" spans="2:21">
      <c r="C54" s="319" t="s">
        <v>481</v>
      </c>
      <c r="D54" s="319" t="s">
        <v>458</v>
      </c>
      <c r="E54" s="388">
        <v>2.0000000000000002E-5</v>
      </c>
      <c r="F54" s="347">
        <v>0.03</v>
      </c>
      <c r="G54" s="343" t="s">
        <v>502</v>
      </c>
      <c r="H54" s="313"/>
      <c r="I54" s="341" t="s">
        <v>503</v>
      </c>
      <c r="J54" s="391">
        <v>0.5</v>
      </c>
      <c r="K54" s="383">
        <v>697.7</v>
      </c>
      <c r="L54" s="313"/>
      <c r="M54" s="320"/>
    </row>
    <row r="55" spans="2:21">
      <c r="C55" s="319" t="s">
        <v>482</v>
      </c>
      <c r="D55" s="319" t="s">
        <v>458</v>
      </c>
      <c r="E55" s="388">
        <v>1.2E-4</v>
      </c>
      <c r="F55" s="347">
        <v>0.16</v>
      </c>
      <c r="G55" s="343" t="s">
        <v>502</v>
      </c>
      <c r="H55" s="313"/>
      <c r="I55" s="313"/>
      <c r="J55" s="313"/>
      <c r="K55" s="313"/>
      <c r="L55" s="313"/>
      <c r="M55" s="320"/>
    </row>
    <row r="56" spans="2:21">
      <c r="C56" s="319" t="s">
        <v>504</v>
      </c>
      <c r="D56" s="319" t="s">
        <v>458</v>
      </c>
      <c r="E56" s="388"/>
      <c r="F56" s="347"/>
      <c r="G56" s="343"/>
      <c r="H56" s="313"/>
      <c r="I56" s="313"/>
      <c r="J56" s="313"/>
      <c r="K56" s="313"/>
      <c r="L56" s="313"/>
      <c r="M56" s="320"/>
    </row>
    <row r="57" spans="2:21" s="490" customFormat="1">
      <c r="C57" s="531" t="s">
        <v>719</v>
      </c>
      <c r="D57" s="531" t="s">
        <v>458</v>
      </c>
      <c r="E57" s="550"/>
      <c r="F57" s="540"/>
      <c r="G57" s="538"/>
      <c r="H57" s="529"/>
      <c r="I57" s="529"/>
      <c r="J57" s="529"/>
      <c r="K57" s="529"/>
      <c r="L57" s="529"/>
      <c r="M57" s="532"/>
    </row>
    <row r="58" spans="2:21">
      <c r="C58" s="319" t="s">
        <v>483</v>
      </c>
      <c r="D58" s="319" t="s">
        <v>458</v>
      </c>
      <c r="E58" s="388">
        <v>6.9999999999999994E-5</v>
      </c>
      <c r="F58" s="347">
        <v>0.01</v>
      </c>
      <c r="G58" s="343" t="s">
        <v>483</v>
      </c>
      <c r="H58" s="313"/>
      <c r="I58" s="313"/>
      <c r="J58" s="313"/>
      <c r="K58" s="313"/>
      <c r="L58" s="313"/>
      <c r="M58" s="320"/>
    </row>
    <row r="59" spans="2:21">
      <c r="C59" s="319" t="s">
        <v>484</v>
      </c>
      <c r="D59" s="319" t="s">
        <v>458</v>
      </c>
      <c r="E59" s="388">
        <v>2.0000000000000002E-5</v>
      </c>
      <c r="F59" s="347">
        <v>0.03</v>
      </c>
      <c r="G59" s="343" t="s">
        <v>502</v>
      </c>
      <c r="H59" s="313"/>
      <c r="I59" s="313"/>
      <c r="J59" s="313"/>
      <c r="K59" s="313"/>
      <c r="L59" s="313"/>
      <c r="M59" s="320"/>
    </row>
    <row r="60" spans="2:21">
      <c r="C60" s="319" t="s">
        <v>485</v>
      </c>
      <c r="D60" s="319" t="s">
        <v>458</v>
      </c>
      <c r="E60" s="388">
        <v>2.0000000000000002E-5</v>
      </c>
      <c r="F60" s="347">
        <v>0.03</v>
      </c>
      <c r="G60" s="343" t="s">
        <v>502</v>
      </c>
      <c r="H60" s="313"/>
      <c r="I60" s="313"/>
      <c r="J60" s="313"/>
      <c r="K60" s="313"/>
      <c r="L60" s="313"/>
      <c r="M60" s="320"/>
    </row>
    <row r="61" spans="2:21">
      <c r="C61" s="319" t="s">
        <v>486</v>
      </c>
      <c r="D61" s="319" t="s">
        <v>458</v>
      </c>
      <c r="E61" s="388">
        <v>3.0000000000000001E-5</v>
      </c>
      <c r="F61" s="347">
        <v>0.04</v>
      </c>
      <c r="G61" s="343" t="s">
        <v>502</v>
      </c>
      <c r="H61" s="313"/>
      <c r="I61" s="313"/>
      <c r="J61" s="313"/>
      <c r="K61" s="313"/>
      <c r="L61" s="313"/>
      <c r="M61" s="320"/>
    </row>
    <row r="62" spans="2:21">
      <c r="C62" s="319" t="s">
        <v>487</v>
      </c>
      <c r="D62" s="319" t="s">
        <v>458</v>
      </c>
      <c r="E62" s="388">
        <v>3.0000000000000001E-5</v>
      </c>
      <c r="F62" s="347">
        <v>0.04</v>
      </c>
      <c r="G62" s="343" t="s">
        <v>502</v>
      </c>
      <c r="H62" s="313"/>
      <c r="I62" s="313"/>
      <c r="J62" s="313"/>
      <c r="K62" s="313"/>
      <c r="L62" s="313"/>
      <c r="M62" s="320"/>
    </row>
    <row r="63" spans="2:21">
      <c r="C63" s="319" t="s">
        <v>488</v>
      </c>
      <c r="D63" s="319" t="s">
        <v>458</v>
      </c>
      <c r="E63" s="388">
        <v>4.0000000000000003E-5</v>
      </c>
      <c r="F63" s="347">
        <v>0.06</v>
      </c>
      <c r="G63" s="343" t="s">
        <v>502</v>
      </c>
      <c r="H63" s="313"/>
      <c r="I63" s="313"/>
      <c r="J63" s="313"/>
      <c r="K63" s="313"/>
      <c r="L63" s="313"/>
      <c r="M63" s="320"/>
    </row>
    <row r="64" spans="2:21">
      <c r="C64" s="319" t="s">
        <v>489</v>
      </c>
      <c r="D64" s="319" t="s">
        <v>458</v>
      </c>
      <c r="E64" s="388">
        <v>1.1E-4</v>
      </c>
      <c r="F64" s="347">
        <v>0.15</v>
      </c>
      <c r="G64" s="343" t="s">
        <v>503</v>
      </c>
      <c r="H64" s="313"/>
      <c r="I64" s="313"/>
      <c r="J64" s="313"/>
      <c r="K64" s="313"/>
      <c r="L64" s="313"/>
      <c r="M64" s="320"/>
    </row>
    <row r="65" spans="3:13">
      <c r="C65" s="319" t="s">
        <v>490</v>
      </c>
      <c r="D65" s="319" t="s">
        <v>458</v>
      </c>
      <c r="E65" s="388">
        <v>0</v>
      </c>
      <c r="F65" s="347">
        <v>0</v>
      </c>
      <c r="G65" s="343" t="s">
        <v>502</v>
      </c>
      <c r="H65" s="313"/>
      <c r="I65" s="313"/>
      <c r="J65" s="313"/>
      <c r="K65" s="313"/>
      <c r="L65" s="313"/>
      <c r="M65" s="320"/>
    </row>
    <row r="66" spans="3:13">
      <c r="C66" s="319" t="s">
        <v>491</v>
      </c>
      <c r="D66" s="319" t="s">
        <v>458</v>
      </c>
      <c r="E66" s="388">
        <v>8.0000000000000007E-5</v>
      </c>
      <c r="F66" s="347">
        <v>0.01</v>
      </c>
      <c r="G66" s="343" t="s">
        <v>483</v>
      </c>
      <c r="H66" s="313"/>
      <c r="I66" s="313"/>
      <c r="J66" s="313"/>
      <c r="K66" s="313"/>
      <c r="L66" s="313"/>
      <c r="M66" s="320"/>
    </row>
    <row r="67" spans="3:13">
      <c r="C67" s="319" t="s">
        <v>492</v>
      </c>
      <c r="D67" s="319" t="s">
        <v>458</v>
      </c>
      <c r="E67" s="388">
        <v>1.4999999999999999E-4</v>
      </c>
      <c r="F67" s="347">
        <v>0.21</v>
      </c>
      <c r="G67" s="343" t="s">
        <v>502</v>
      </c>
      <c r="H67" s="313"/>
      <c r="I67" s="313"/>
      <c r="J67" s="313"/>
      <c r="K67" s="313"/>
      <c r="L67" s="313"/>
      <c r="M67" s="320"/>
    </row>
    <row r="68" spans="3:13">
      <c r="C68" s="313"/>
      <c r="D68" s="313"/>
      <c r="E68" s="313"/>
      <c r="F68" s="313"/>
      <c r="G68" s="313"/>
      <c r="H68" s="313"/>
      <c r="I68" s="313"/>
      <c r="J68" s="313"/>
      <c r="K68" s="313"/>
    </row>
    <row r="69" spans="3:13" ht="15">
      <c r="C69" s="385" t="s">
        <v>505</v>
      </c>
      <c r="D69" s="313"/>
      <c r="E69" s="313"/>
      <c r="F69" s="313"/>
      <c r="G69" s="313"/>
      <c r="H69" s="313"/>
      <c r="I69" s="313"/>
      <c r="J69" s="313"/>
      <c r="K69" s="313"/>
    </row>
    <row r="70" spans="3:13">
      <c r="C70" s="340" t="s">
        <v>497</v>
      </c>
      <c r="D70" s="340" t="s">
        <v>6</v>
      </c>
      <c r="E70" s="340" t="s">
        <v>506</v>
      </c>
      <c r="F70" s="340">
        <v>2015</v>
      </c>
      <c r="G70" s="340">
        <v>2020</v>
      </c>
      <c r="H70" s="340">
        <v>2035</v>
      </c>
      <c r="I70" s="340">
        <v>2050</v>
      </c>
      <c r="J70" s="340" t="s">
        <v>507</v>
      </c>
      <c r="K70" s="340" t="s">
        <v>390</v>
      </c>
    </row>
    <row r="71" spans="3:13">
      <c r="C71" s="319" t="s">
        <v>479</v>
      </c>
      <c r="D71" s="319" t="s">
        <v>508</v>
      </c>
      <c r="E71" s="347">
        <v>1.8</v>
      </c>
      <c r="F71" s="343">
        <v>1.8</v>
      </c>
      <c r="G71" s="343">
        <v>1.8</v>
      </c>
      <c r="H71" s="343">
        <v>1.8</v>
      </c>
      <c r="I71" s="343">
        <v>1.8</v>
      </c>
      <c r="J71" s="319"/>
      <c r="K71" s="348" t="s">
        <v>509</v>
      </c>
    </row>
    <row r="72" spans="3:13">
      <c r="C72" s="319" t="s">
        <v>480</v>
      </c>
      <c r="D72" s="319" t="s">
        <v>508</v>
      </c>
      <c r="E72" s="347">
        <v>1.8</v>
      </c>
      <c r="F72" s="392">
        <v>1.8</v>
      </c>
      <c r="G72" s="392">
        <v>1.8</v>
      </c>
      <c r="H72" s="392">
        <v>1.8</v>
      </c>
      <c r="I72" s="392">
        <v>1.8</v>
      </c>
      <c r="J72" s="393" t="s">
        <v>510</v>
      </c>
      <c r="K72" s="394" t="s">
        <v>511</v>
      </c>
    </row>
    <row r="73" spans="3:13">
      <c r="C73" s="319" t="s">
        <v>481</v>
      </c>
      <c r="D73" s="319" t="s">
        <v>508</v>
      </c>
      <c r="E73" s="347">
        <v>0.53</v>
      </c>
      <c r="F73" s="343">
        <v>0.53</v>
      </c>
      <c r="G73" s="343">
        <v>0.53</v>
      </c>
      <c r="H73" s="343">
        <v>0.53</v>
      </c>
      <c r="I73" s="343">
        <v>0.53</v>
      </c>
      <c r="J73" s="319"/>
      <c r="K73" s="348" t="s">
        <v>722</v>
      </c>
    </row>
    <row r="74" spans="3:13">
      <c r="C74" s="319" t="s">
        <v>482</v>
      </c>
      <c r="D74" s="319" t="s">
        <v>508</v>
      </c>
      <c r="E74" s="347">
        <v>6.23</v>
      </c>
      <c r="F74" s="344">
        <v>6.23</v>
      </c>
      <c r="G74" s="344">
        <v>6.23</v>
      </c>
      <c r="H74" s="344">
        <v>6.23</v>
      </c>
      <c r="I74" s="344">
        <v>6.23</v>
      </c>
      <c r="J74" s="319"/>
      <c r="K74" s="348" t="s">
        <v>722</v>
      </c>
    </row>
    <row r="75" spans="3:13">
      <c r="C75" s="319" t="s">
        <v>504</v>
      </c>
      <c r="D75" s="319"/>
      <c r="E75" s="347"/>
      <c r="F75" s="344"/>
      <c r="G75" s="344"/>
      <c r="H75" s="344"/>
      <c r="I75" s="344"/>
      <c r="J75" s="319"/>
      <c r="K75" s="348"/>
    </row>
    <row r="76" spans="3:13" s="490" customFormat="1">
      <c r="C76" s="531" t="s">
        <v>719</v>
      </c>
      <c r="D76" s="531" t="s">
        <v>508</v>
      </c>
      <c r="E76" s="540">
        <v>9.67</v>
      </c>
      <c r="F76" s="539">
        <v>9.67</v>
      </c>
      <c r="G76" s="539">
        <v>9.67</v>
      </c>
      <c r="H76" s="539">
        <v>9.67</v>
      </c>
      <c r="I76" s="539">
        <v>9.67</v>
      </c>
      <c r="J76" s="531" t="s">
        <v>723</v>
      </c>
      <c r="K76" s="541" t="s">
        <v>722</v>
      </c>
    </row>
    <row r="77" spans="3:13">
      <c r="C77" s="319" t="s">
        <v>483</v>
      </c>
      <c r="D77" s="319" t="s">
        <v>513</v>
      </c>
      <c r="E77" s="347">
        <v>6.71</v>
      </c>
      <c r="F77" s="343">
        <v>6.71</v>
      </c>
      <c r="G77" s="343">
        <v>6.71</v>
      </c>
      <c r="H77" s="343">
        <v>6.71</v>
      </c>
      <c r="I77" s="343">
        <v>6.71</v>
      </c>
      <c r="J77" s="319" t="s">
        <v>724</v>
      </c>
      <c r="K77" s="348" t="s">
        <v>722</v>
      </c>
    </row>
    <row r="78" spans="3:13">
      <c r="C78" s="319" t="s">
        <v>484</v>
      </c>
      <c r="D78" s="319" t="s">
        <v>508</v>
      </c>
      <c r="E78" s="347">
        <v>0.67</v>
      </c>
      <c r="F78" s="344">
        <v>0.67</v>
      </c>
      <c r="G78" s="344">
        <v>0.67</v>
      </c>
      <c r="H78" s="344">
        <v>0.67</v>
      </c>
      <c r="I78" s="344">
        <v>0.67</v>
      </c>
      <c r="J78" s="319" t="s">
        <v>514</v>
      </c>
      <c r="K78" s="348" t="s">
        <v>509</v>
      </c>
    </row>
    <row r="79" spans="3:13">
      <c r="C79" s="319" t="s">
        <v>485</v>
      </c>
      <c r="D79" s="319" t="s">
        <v>508</v>
      </c>
      <c r="E79" s="347">
        <v>0.67</v>
      </c>
      <c r="F79" s="395">
        <v>0.67</v>
      </c>
      <c r="G79" s="395">
        <v>0.67</v>
      </c>
      <c r="H79" s="395">
        <v>0.67</v>
      </c>
      <c r="I79" s="395">
        <v>0.67</v>
      </c>
      <c r="J79" s="396" t="s">
        <v>515</v>
      </c>
      <c r="K79" s="345"/>
    </row>
    <row r="80" spans="3:13">
      <c r="C80" s="319" t="s">
        <v>486</v>
      </c>
      <c r="D80" s="319" t="s">
        <v>516</v>
      </c>
      <c r="E80" s="347">
        <v>0.05</v>
      </c>
      <c r="F80" s="343">
        <v>0.05</v>
      </c>
      <c r="G80" s="343">
        <v>0.05</v>
      </c>
      <c r="H80" s="343">
        <v>0.05</v>
      </c>
      <c r="I80" s="343">
        <v>0.05</v>
      </c>
      <c r="J80" s="397"/>
      <c r="K80" s="349" t="s">
        <v>725</v>
      </c>
    </row>
    <row r="81" spans="3:23">
      <c r="C81" s="319" t="s">
        <v>487</v>
      </c>
      <c r="D81" s="319" t="s">
        <v>516</v>
      </c>
      <c r="E81" s="347">
        <v>0.05</v>
      </c>
      <c r="F81" s="343">
        <v>0.05</v>
      </c>
      <c r="G81" s="343">
        <v>0.05</v>
      </c>
      <c r="H81" s="343">
        <v>0.05</v>
      </c>
      <c r="I81" s="343">
        <v>0.05</v>
      </c>
      <c r="J81" s="397"/>
      <c r="K81" s="349" t="s">
        <v>725</v>
      </c>
    </row>
    <row r="82" spans="3:23">
      <c r="C82" s="319" t="s">
        <v>488</v>
      </c>
      <c r="D82" s="319" t="s">
        <v>508</v>
      </c>
      <c r="E82" s="347">
        <v>2.36</v>
      </c>
      <c r="F82" s="344">
        <v>2.36</v>
      </c>
      <c r="G82" s="344">
        <v>2.36</v>
      </c>
      <c r="H82" s="344">
        <v>2.36</v>
      </c>
      <c r="I82" s="344">
        <v>2.36</v>
      </c>
      <c r="J82" s="319"/>
      <c r="K82" s="349" t="s">
        <v>726</v>
      </c>
    </row>
    <row r="83" spans="3:23">
      <c r="C83" s="319" t="s">
        <v>489</v>
      </c>
      <c r="D83" s="319" t="s">
        <v>508</v>
      </c>
      <c r="E83" s="347">
        <v>9.08</v>
      </c>
      <c r="F83" s="344">
        <v>9.08</v>
      </c>
      <c r="G83" s="344">
        <v>9.18</v>
      </c>
      <c r="H83" s="344">
        <v>8.8699999999999992</v>
      </c>
      <c r="I83" s="344">
        <v>8.26</v>
      </c>
      <c r="J83" s="319"/>
      <c r="K83" s="348"/>
    </row>
    <row r="84" spans="3:23">
      <c r="C84" s="319" t="s">
        <v>490</v>
      </c>
      <c r="D84" s="319" t="s">
        <v>508</v>
      </c>
      <c r="E84" s="347">
        <v>0</v>
      </c>
      <c r="F84" s="450"/>
      <c r="G84" s="450"/>
      <c r="H84" s="450"/>
      <c r="I84" s="450"/>
      <c r="J84" s="319"/>
      <c r="K84" s="348"/>
    </row>
    <row r="85" spans="3:23">
      <c r="C85" s="319" t="s">
        <v>491</v>
      </c>
      <c r="D85" s="319" t="s">
        <v>508</v>
      </c>
      <c r="E85" s="347">
        <v>4.7699999999999996</v>
      </c>
      <c r="F85" s="343">
        <v>4.7699999999999996</v>
      </c>
      <c r="G85" s="343">
        <v>4.7699999999999996</v>
      </c>
      <c r="H85" s="343">
        <v>4.7699999999999996</v>
      </c>
      <c r="I85" s="343">
        <v>4.7699999999999996</v>
      </c>
      <c r="J85" s="319" t="s">
        <v>517</v>
      </c>
      <c r="K85" s="349" t="s">
        <v>509</v>
      </c>
      <c r="L85" s="313"/>
      <c r="M85" s="313"/>
      <c r="N85" s="313"/>
      <c r="O85" s="313"/>
      <c r="P85" s="313"/>
      <c r="Q85" s="313"/>
      <c r="R85" s="313"/>
      <c r="S85" s="313"/>
      <c r="T85" s="313"/>
      <c r="U85" s="313"/>
      <c r="V85" s="313"/>
      <c r="W85" s="313"/>
    </row>
    <row r="86" spans="3:23">
      <c r="C86" s="319" t="s">
        <v>492</v>
      </c>
      <c r="D86" s="319" t="s">
        <v>508</v>
      </c>
      <c r="E86" s="347">
        <v>11.14</v>
      </c>
      <c r="F86" s="343">
        <v>11.14</v>
      </c>
      <c r="G86" s="343">
        <v>11.14</v>
      </c>
      <c r="H86" s="343">
        <v>11.14</v>
      </c>
      <c r="I86" s="343">
        <v>11.14</v>
      </c>
      <c r="J86" s="319" t="s">
        <v>518</v>
      </c>
      <c r="K86" s="349" t="s">
        <v>509</v>
      </c>
      <c r="L86" s="313"/>
      <c r="M86" s="313"/>
      <c r="N86" s="313"/>
      <c r="O86" s="313"/>
      <c r="P86" s="313"/>
      <c r="Q86" s="313"/>
      <c r="R86" s="313"/>
      <c r="S86" s="313"/>
      <c r="T86" s="313"/>
      <c r="U86" s="313"/>
      <c r="V86" s="313"/>
      <c r="W86" s="313"/>
    </row>
    <row r="87" spans="3:23">
      <c r="C87" s="313"/>
      <c r="D87" s="313"/>
      <c r="E87" s="313"/>
      <c r="F87" s="313"/>
      <c r="G87" s="313"/>
      <c r="H87" s="313"/>
      <c r="I87" s="313"/>
      <c r="J87" s="313"/>
      <c r="K87" s="313"/>
      <c r="L87" s="313"/>
      <c r="M87" s="313"/>
      <c r="N87" s="313"/>
      <c r="O87" s="313"/>
      <c r="P87" s="313"/>
      <c r="Q87" s="313"/>
      <c r="R87" s="313"/>
      <c r="S87" s="313"/>
      <c r="T87" s="313"/>
      <c r="U87" s="313"/>
      <c r="V87" s="313"/>
      <c r="W87" s="313"/>
    </row>
    <row r="88" spans="3:23" ht="15">
      <c r="C88" s="385" t="s">
        <v>727</v>
      </c>
      <c r="D88" s="313"/>
      <c r="E88" s="313"/>
      <c r="F88" s="313"/>
      <c r="G88" s="313"/>
      <c r="H88" s="313"/>
      <c r="I88" s="313"/>
      <c r="J88" s="313"/>
      <c r="K88" s="313"/>
      <c r="L88" s="313"/>
      <c r="M88" s="313"/>
      <c r="N88" s="313"/>
      <c r="O88" s="313"/>
      <c r="P88" s="313"/>
      <c r="Q88" s="313"/>
      <c r="R88" s="313"/>
      <c r="S88" s="313"/>
      <c r="T88" s="313"/>
      <c r="U88" s="313"/>
      <c r="V88" s="313"/>
      <c r="W88" s="313"/>
    </row>
    <row r="89" spans="3:23">
      <c r="C89" s="340" t="s">
        <v>497</v>
      </c>
      <c r="D89" s="340" t="s">
        <v>6</v>
      </c>
      <c r="E89" s="340" t="s">
        <v>506</v>
      </c>
      <c r="F89" s="340">
        <v>2015</v>
      </c>
      <c r="G89" s="340">
        <v>2020</v>
      </c>
      <c r="H89" s="340">
        <v>2035</v>
      </c>
      <c r="I89" s="340">
        <v>2050</v>
      </c>
      <c r="J89" s="340" t="s">
        <v>507</v>
      </c>
      <c r="K89" s="340" t="s">
        <v>390</v>
      </c>
      <c r="L89" s="313"/>
      <c r="M89" s="313"/>
      <c r="N89" s="313"/>
      <c r="O89" s="313"/>
      <c r="P89" s="313"/>
      <c r="Q89" s="313"/>
      <c r="R89" s="313"/>
      <c r="S89" s="313"/>
      <c r="T89" s="313"/>
      <c r="U89" s="313"/>
      <c r="V89" s="313"/>
      <c r="W89" s="313"/>
    </row>
    <row r="90" spans="3:23">
      <c r="C90" s="319" t="s">
        <v>479</v>
      </c>
      <c r="D90" s="319" t="s">
        <v>458</v>
      </c>
      <c r="E90" s="347">
        <v>16.739999999999998</v>
      </c>
      <c r="F90" s="342">
        <v>17</v>
      </c>
      <c r="G90" s="342">
        <v>17</v>
      </c>
      <c r="H90" s="342">
        <v>17</v>
      </c>
      <c r="I90" s="342">
        <v>17</v>
      </c>
      <c r="J90" s="319" t="s">
        <v>512</v>
      </c>
      <c r="K90" s="348" t="s">
        <v>509</v>
      </c>
      <c r="L90" s="313"/>
      <c r="M90" s="313"/>
      <c r="N90" s="313"/>
      <c r="O90" s="313"/>
      <c r="P90" s="313"/>
      <c r="Q90" s="313"/>
      <c r="R90" s="313"/>
      <c r="S90" s="313"/>
      <c r="T90" s="313"/>
      <c r="U90" s="313"/>
      <c r="V90" s="313"/>
      <c r="W90" s="354"/>
    </row>
    <row r="91" spans="3:23">
      <c r="C91" s="319" t="s">
        <v>480</v>
      </c>
      <c r="D91" s="319" t="s">
        <v>458</v>
      </c>
      <c r="E91" s="347">
        <v>9.26</v>
      </c>
      <c r="F91" s="353">
        <v>9</v>
      </c>
      <c r="G91" s="353">
        <v>9</v>
      </c>
      <c r="H91" s="353">
        <v>9</v>
      </c>
      <c r="I91" s="353">
        <v>9</v>
      </c>
      <c r="J91" s="393"/>
      <c r="K91" s="348" t="s">
        <v>509</v>
      </c>
      <c r="L91" s="313"/>
      <c r="M91" s="313"/>
      <c r="N91" s="313"/>
      <c r="O91" s="313"/>
      <c r="P91" s="313"/>
      <c r="Q91" s="313"/>
      <c r="R91" s="313"/>
      <c r="S91" s="313"/>
      <c r="T91" s="313"/>
      <c r="U91" s="313"/>
      <c r="V91" s="313"/>
      <c r="W91" s="354"/>
    </row>
    <row r="92" spans="3:23">
      <c r="C92" s="319" t="s">
        <v>481</v>
      </c>
      <c r="D92" s="319" t="s">
        <v>458</v>
      </c>
      <c r="E92" s="347">
        <v>2.5099999999999998</v>
      </c>
      <c r="F92" s="343">
        <v>2.5099999999999998</v>
      </c>
      <c r="G92" s="343">
        <v>2.5099999999999998</v>
      </c>
      <c r="H92" s="343">
        <v>2.5099999999999998</v>
      </c>
      <c r="I92" s="343">
        <v>2.5099999999999998</v>
      </c>
      <c r="J92" s="319"/>
      <c r="K92" s="348" t="s">
        <v>722</v>
      </c>
      <c r="L92" s="313"/>
      <c r="M92" s="313"/>
      <c r="N92" s="313"/>
      <c r="O92" s="313"/>
      <c r="P92" s="313"/>
      <c r="Q92" s="313"/>
      <c r="R92" s="313"/>
      <c r="S92" s="313"/>
      <c r="T92" s="313"/>
      <c r="U92" s="313"/>
      <c r="V92" s="313"/>
      <c r="W92" s="354"/>
    </row>
    <row r="93" spans="3:23">
      <c r="C93" s="319" t="s">
        <v>482</v>
      </c>
      <c r="D93" s="319" t="s">
        <v>458</v>
      </c>
      <c r="E93" s="347">
        <v>35.880000000000003</v>
      </c>
      <c r="F93" s="344">
        <v>35.880000000000003</v>
      </c>
      <c r="G93" s="344">
        <v>35.880000000000003</v>
      </c>
      <c r="H93" s="344">
        <v>35.880000000000003</v>
      </c>
      <c r="I93" s="344">
        <v>35.880000000000003</v>
      </c>
      <c r="J93" s="319"/>
      <c r="K93" s="348" t="s">
        <v>722</v>
      </c>
      <c r="L93" s="313"/>
      <c r="M93" s="313"/>
      <c r="N93" s="313"/>
      <c r="O93" s="313"/>
      <c r="P93" s="313"/>
      <c r="Q93" s="313"/>
      <c r="R93" s="313"/>
      <c r="S93" s="313"/>
      <c r="T93" s="313"/>
      <c r="U93" s="313"/>
      <c r="V93" s="313"/>
      <c r="W93" s="354"/>
    </row>
    <row r="94" spans="3:23">
      <c r="C94" s="319" t="s">
        <v>504</v>
      </c>
      <c r="D94" s="319"/>
      <c r="E94" s="347"/>
      <c r="F94" s="344"/>
      <c r="G94" s="344"/>
      <c r="H94" s="344"/>
      <c r="I94" s="344"/>
      <c r="J94" s="319"/>
      <c r="K94" s="348"/>
      <c r="L94" s="313"/>
      <c r="M94" s="313"/>
      <c r="N94" s="313"/>
      <c r="O94" s="313"/>
      <c r="P94" s="313"/>
      <c r="Q94" s="313"/>
      <c r="R94" s="313"/>
      <c r="S94" s="313"/>
      <c r="T94" s="313"/>
      <c r="U94" s="313"/>
      <c r="V94" s="313"/>
      <c r="W94" s="354"/>
    </row>
    <row r="95" spans="3:23" s="490" customFormat="1">
      <c r="C95" s="531" t="s">
        <v>719</v>
      </c>
      <c r="D95" s="531" t="s">
        <v>458</v>
      </c>
      <c r="E95" s="540">
        <v>48.61</v>
      </c>
      <c r="F95" s="539">
        <v>48.61</v>
      </c>
      <c r="G95" s="539">
        <v>48.61</v>
      </c>
      <c r="H95" s="539">
        <v>48.61</v>
      </c>
      <c r="I95" s="539">
        <v>48.61</v>
      </c>
      <c r="J95" s="531" t="s">
        <v>518</v>
      </c>
      <c r="K95" s="541" t="s">
        <v>722</v>
      </c>
      <c r="L95" s="529"/>
      <c r="M95" s="529"/>
      <c r="N95" s="529"/>
      <c r="O95" s="529"/>
      <c r="P95" s="529"/>
      <c r="Q95" s="529"/>
      <c r="R95" s="529"/>
      <c r="S95" s="529"/>
      <c r="T95" s="529"/>
      <c r="U95" s="529"/>
      <c r="V95" s="529"/>
      <c r="W95" s="543"/>
    </row>
    <row r="96" spans="3:23">
      <c r="C96" s="319" t="s">
        <v>483</v>
      </c>
      <c r="D96" s="319" t="s">
        <v>458</v>
      </c>
      <c r="E96" s="347">
        <v>13</v>
      </c>
      <c r="F96" s="344">
        <v>13</v>
      </c>
      <c r="G96" s="344">
        <v>13</v>
      </c>
      <c r="H96" s="344">
        <v>13</v>
      </c>
      <c r="I96" s="344">
        <v>13</v>
      </c>
      <c r="J96" s="319" t="s">
        <v>724</v>
      </c>
      <c r="K96" s="348" t="s">
        <v>722</v>
      </c>
      <c r="L96" s="313"/>
      <c r="M96" s="313"/>
      <c r="N96" s="313"/>
      <c r="O96" s="313"/>
      <c r="P96" s="313"/>
      <c r="Q96" s="313"/>
      <c r="R96" s="313"/>
      <c r="S96" s="313"/>
      <c r="T96" s="313"/>
      <c r="U96" s="313"/>
      <c r="V96" s="313"/>
      <c r="W96" s="354"/>
    </row>
    <row r="97" spans="3:37">
      <c r="C97" s="319" t="s">
        <v>484</v>
      </c>
      <c r="D97" s="319" t="s">
        <v>458</v>
      </c>
      <c r="E97" s="347">
        <v>5.4</v>
      </c>
      <c r="F97" s="344">
        <v>5.4</v>
      </c>
      <c r="G97" s="344">
        <v>5.4</v>
      </c>
      <c r="H97" s="344">
        <v>5.4</v>
      </c>
      <c r="I97" s="344">
        <v>5.4</v>
      </c>
      <c r="J97" s="319" t="s">
        <v>514</v>
      </c>
      <c r="K97" s="348" t="s">
        <v>509</v>
      </c>
      <c r="L97" s="313"/>
      <c r="M97" s="313"/>
      <c r="N97" s="313"/>
      <c r="O97" s="313"/>
      <c r="P97" s="313"/>
      <c r="Q97" s="313"/>
      <c r="R97" s="313"/>
      <c r="S97" s="313"/>
      <c r="T97" s="313"/>
      <c r="U97" s="313"/>
      <c r="V97" s="313"/>
      <c r="W97" s="354"/>
    </row>
    <row r="98" spans="3:37">
      <c r="C98" s="319" t="s">
        <v>485</v>
      </c>
      <c r="D98" s="319" t="s">
        <v>458</v>
      </c>
      <c r="E98" s="347">
        <v>5.4</v>
      </c>
      <c r="F98" s="395">
        <v>5.4</v>
      </c>
      <c r="G98" s="395">
        <v>5.4</v>
      </c>
      <c r="H98" s="395">
        <v>5.4</v>
      </c>
      <c r="I98" s="395">
        <v>5.4</v>
      </c>
      <c r="J98" s="396" t="s">
        <v>519</v>
      </c>
      <c r="K98" s="345"/>
      <c r="L98" s="313"/>
      <c r="M98" s="313"/>
      <c r="N98" s="313"/>
      <c r="O98" s="313"/>
      <c r="P98" s="313"/>
      <c r="Q98" s="313"/>
      <c r="R98" s="313"/>
      <c r="S98" s="313"/>
      <c r="T98" s="313"/>
      <c r="U98" s="313"/>
      <c r="V98" s="313"/>
      <c r="W98" s="354"/>
    </row>
    <row r="99" spans="3:37">
      <c r="C99" s="319" t="s">
        <v>486</v>
      </c>
      <c r="D99" s="319" t="s">
        <v>458</v>
      </c>
      <c r="E99" s="347">
        <v>0.26</v>
      </c>
      <c r="F99" s="347">
        <v>0.26</v>
      </c>
      <c r="G99" s="347">
        <v>0.23</v>
      </c>
      <c r="H99" s="347">
        <v>0.22</v>
      </c>
      <c r="I99" s="347">
        <v>0</v>
      </c>
      <c r="J99" s="397" t="s">
        <v>520</v>
      </c>
      <c r="K99" s="349" t="s">
        <v>725</v>
      </c>
      <c r="L99" s="313"/>
      <c r="M99" s="313"/>
      <c r="N99" s="313"/>
      <c r="O99" s="313"/>
      <c r="P99" s="313"/>
      <c r="Q99" s="313"/>
      <c r="R99" s="313"/>
      <c r="S99" s="313"/>
      <c r="T99" s="313"/>
      <c r="U99" s="313"/>
      <c r="V99" s="313"/>
      <c r="W99" s="354"/>
    </row>
    <row r="100" spans="3:37">
      <c r="C100" s="319" t="s">
        <v>487</v>
      </c>
      <c r="D100" s="319" t="s">
        <v>458</v>
      </c>
      <c r="E100" s="347">
        <v>0.26</v>
      </c>
      <c r="F100" s="347">
        <v>0.26</v>
      </c>
      <c r="G100" s="347">
        <v>0.23</v>
      </c>
      <c r="H100" s="347">
        <v>0.22</v>
      </c>
      <c r="I100" s="347">
        <v>0</v>
      </c>
      <c r="J100" s="397" t="s">
        <v>520</v>
      </c>
      <c r="K100" s="349" t="s">
        <v>725</v>
      </c>
      <c r="L100" s="313"/>
      <c r="M100" s="313"/>
      <c r="N100" s="313"/>
      <c r="O100" s="313"/>
      <c r="P100" s="313"/>
      <c r="Q100" s="313"/>
      <c r="R100" s="313"/>
      <c r="S100" s="313"/>
      <c r="T100" s="313"/>
      <c r="U100" s="313"/>
      <c r="V100" s="313"/>
      <c r="W100" s="354"/>
    </row>
    <row r="101" spans="3:37">
      <c r="C101" s="319" t="s">
        <v>488</v>
      </c>
      <c r="D101" s="319" t="s">
        <v>458</v>
      </c>
      <c r="E101" s="347">
        <v>15.32</v>
      </c>
      <c r="F101" s="344">
        <v>15.32</v>
      </c>
      <c r="G101" s="344">
        <v>15.32</v>
      </c>
      <c r="H101" s="344">
        <v>15.32</v>
      </c>
      <c r="I101" s="344">
        <v>15.32</v>
      </c>
      <c r="J101" s="319"/>
      <c r="K101" s="349" t="s">
        <v>726</v>
      </c>
      <c r="L101" s="313"/>
      <c r="M101" s="313"/>
      <c r="N101" s="313"/>
      <c r="O101" s="313"/>
      <c r="P101" s="313"/>
      <c r="Q101" s="313"/>
      <c r="R101" s="313"/>
      <c r="S101" s="313"/>
      <c r="T101" s="313"/>
      <c r="U101" s="313"/>
      <c r="V101" s="313"/>
      <c r="W101" s="354"/>
    </row>
    <row r="102" spans="3:37">
      <c r="C102" s="319" t="s">
        <v>489</v>
      </c>
      <c r="D102" s="319" t="s">
        <v>458</v>
      </c>
      <c r="E102" s="347">
        <v>22.6</v>
      </c>
      <c r="F102" s="344">
        <v>22.6</v>
      </c>
      <c r="G102" s="344">
        <v>23.19</v>
      </c>
      <c r="H102" s="344">
        <v>21.56</v>
      </c>
      <c r="I102" s="344">
        <v>19.3</v>
      </c>
      <c r="J102" s="319"/>
      <c r="K102" s="348"/>
      <c r="L102" s="313"/>
      <c r="M102" s="313"/>
      <c r="N102" s="313"/>
      <c r="O102" s="313"/>
      <c r="P102" s="313"/>
      <c r="Q102" s="313"/>
      <c r="R102" s="313"/>
      <c r="S102" s="313"/>
      <c r="T102" s="313"/>
      <c r="U102" s="313"/>
      <c r="V102" s="313"/>
      <c r="W102" s="354"/>
      <c r="X102" s="313"/>
      <c r="Y102" s="313"/>
      <c r="Z102" s="313"/>
      <c r="AA102" s="313"/>
      <c r="AB102" s="313"/>
      <c r="AC102" s="313"/>
      <c r="AD102" s="313"/>
      <c r="AE102" s="313"/>
      <c r="AF102" s="313"/>
      <c r="AG102" s="313"/>
      <c r="AH102" s="313"/>
      <c r="AI102" s="313"/>
      <c r="AJ102" s="313"/>
      <c r="AK102" s="313"/>
    </row>
    <row r="103" spans="3:37">
      <c r="C103" s="319" t="s">
        <v>490</v>
      </c>
      <c r="D103" s="319" t="s">
        <v>458</v>
      </c>
      <c r="E103" s="347">
        <v>3.53</v>
      </c>
      <c r="F103" s="398">
        <v>3.53</v>
      </c>
      <c r="G103" s="398">
        <v>3.53</v>
      </c>
      <c r="H103" s="398">
        <v>3.53</v>
      </c>
      <c r="I103" s="398">
        <v>3.53</v>
      </c>
      <c r="J103" s="397" t="s">
        <v>521</v>
      </c>
      <c r="K103" s="399"/>
      <c r="L103" s="313"/>
      <c r="M103" s="313"/>
      <c r="N103" s="313"/>
      <c r="O103" s="313"/>
      <c r="P103" s="313"/>
      <c r="Q103" s="313"/>
      <c r="R103" s="313"/>
      <c r="S103" s="313"/>
      <c r="T103" s="313"/>
      <c r="U103" s="313"/>
      <c r="V103" s="313"/>
      <c r="W103" s="354"/>
      <c r="X103" s="313"/>
      <c r="Y103" s="313"/>
      <c r="Z103" s="313"/>
      <c r="AA103" s="313"/>
      <c r="AB103" s="313"/>
      <c r="AC103" s="313"/>
      <c r="AD103" s="313"/>
      <c r="AE103" s="313"/>
      <c r="AF103" s="313"/>
      <c r="AG103" s="313"/>
      <c r="AH103" s="313"/>
      <c r="AI103" s="313"/>
      <c r="AJ103" s="313"/>
      <c r="AK103" s="313"/>
    </row>
    <row r="104" spans="3:37">
      <c r="C104" s="319" t="s">
        <v>491</v>
      </c>
      <c r="D104" s="319" t="s">
        <v>458</v>
      </c>
      <c r="E104" s="347">
        <v>24.16</v>
      </c>
      <c r="F104" s="343">
        <v>24.16</v>
      </c>
      <c r="G104" s="343">
        <v>24.16</v>
      </c>
      <c r="H104" s="343">
        <v>24.16</v>
      </c>
      <c r="I104" s="343">
        <v>24.16</v>
      </c>
      <c r="J104" s="397" t="s">
        <v>522</v>
      </c>
      <c r="K104" s="349" t="s">
        <v>509</v>
      </c>
      <c r="L104" s="313"/>
      <c r="M104" s="313"/>
      <c r="N104" s="313"/>
      <c r="O104" s="313"/>
      <c r="P104" s="313"/>
      <c r="Q104" s="313"/>
      <c r="R104" s="313"/>
      <c r="S104" s="313"/>
      <c r="T104" s="313"/>
      <c r="U104" s="313"/>
      <c r="V104" s="313"/>
      <c r="W104" s="320"/>
      <c r="X104" s="313"/>
      <c r="Y104" s="313"/>
      <c r="Z104" s="313"/>
      <c r="AA104" s="313"/>
      <c r="AB104" s="313"/>
      <c r="AC104" s="313"/>
      <c r="AD104" s="313"/>
      <c r="AE104" s="313"/>
      <c r="AF104" s="313"/>
      <c r="AG104" s="313"/>
      <c r="AH104" s="313"/>
      <c r="AI104" s="313"/>
      <c r="AJ104" s="313"/>
      <c r="AK104" s="313"/>
    </row>
    <row r="105" spans="3:37">
      <c r="C105" s="319" t="s">
        <v>492</v>
      </c>
      <c r="D105" s="319" t="s">
        <v>458</v>
      </c>
      <c r="E105" s="347">
        <v>67.930000000000007</v>
      </c>
      <c r="F105" s="343">
        <v>67.930000000000007</v>
      </c>
      <c r="G105" s="343">
        <v>67.930000000000007</v>
      </c>
      <c r="H105" s="343">
        <v>67.930000000000007</v>
      </c>
      <c r="I105" s="343">
        <v>67.930000000000007</v>
      </c>
      <c r="J105" s="319" t="s">
        <v>518</v>
      </c>
      <c r="K105" s="349" t="s">
        <v>509</v>
      </c>
      <c r="L105" s="313"/>
      <c r="M105" s="313"/>
      <c r="N105" s="313"/>
      <c r="O105" s="313"/>
      <c r="P105" s="313"/>
      <c r="Q105" s="313"/>
      <c r="R105" s="313"/>
      <c r="S105" s="313"/>
      <c r="T105" s="313"/>
      <c r="U105" s="313"/>
      <c r="V105" s="313"/>
      <c r="W105" s="354"/>
      <c r="X105" s="313"/>
      <c r="Y105" s="313"/>
      <c r="Z105" s="313"/>
      <c r="AA105" s="313"/>
      <c r="AB105" s="313"/>
      <c r="AC105" s="313"/>
      <c r="AD105" s="313"/>
      <c r="AE105" s="313"/>
      <c r="AF105" s="313"/>
      <c r="AG105" s="313"/>
      <c r="AH105" s="313"/>
      <c r="AI105" s="313"/>
      <c r="AJ105" s="313"/>
      <c r="AK105" s="313"/>
    </row>
    <row r="106" spans="3:37">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5"/>
      <c r="AA106" s="315"/>
      <c r="AB106" s="315"/>
      <c r="AC106" s="315"/>
      <c r="AD106" s="315"/>
      <c r="AE106" s="315"/>
      <c r="AF106" s="315"/>
      <c r="AG106" s="315"/>
      <c r="AH106" s="315"/>
      <c r="AI106" s="315"/>
      <c r="AJ106" s="315"/>
      <c r="AK106" s="315"/>
    </row>
    <row r="107" spans="3:37" ht="15">
      <c r="C107" s="385" t="s">
        <v>523</v>
      </c>
      <c r="D107" s="313"/>
      <c r="E107" s="313"/>
      <c r="F107" s="313"/>
      <c r="G107" s="313" t="s">
        <v>524</v>
      </c>
      <c r="H107" s="313" t="s">
        <v>524</v>
      </c>
      <c r="I107" s="313" t="s">
        <v>525</v>
      </c>
      <c r="J107" s="313" t="s">
        <v>525</v>
      </c>
      <c r="K107" s="313" t="s">
        <v>526</v>
      </c>
      <c r="L107" s="313"/>
      <c r="M107" s="313"/>
      <c r="N107" s="313"/>
      <c r="O107" s="313"/>
      <c r="P107" s="313"/>
      <c r="Q107" s="313"/>
      <c r="R107" s="313"/>
      <c r="S107" s="313"/>
      <c r="T107" s="313"/>
      <c r="U107" s="313"/>
      <c r="V107" s="313"/>
      <c r="W107" s="313"/>
      <c r="X107" s="313"/>
      <c r="Y107" s="313"/>
      <c r="Z107" s="315"/>
      <c r="AA107" s="315"/>
      <c r="AB107" s="315"/>
      <c r="AC107" s="315"/>
      <c r="AD107" s="315"/>
      <c r="AE107" s="315"/>
      <c r="AF107" s="315"/>
      <c r="AG107" s="315"/>
      <c r="AH107" s="315"/>
      <c r="AI107" s="315"/>
      <c r="AJ107" s="315"/>
      <c r="AK107" s="315"/>
    </row>
    <row r="108" spans="3:37" ht="15">
      <c r="C108" s="340" t="s">
        <v>497</v>
      </c>
      <c r="D108" s="340" t="s">
        <v>6</v>
      </c>
      <c r="E108" s="340" t="s">
        <v>506</v>
      </c>
      <c r="F108" s="340" t="s">
        <v>527</v>
      </c>
      <c r="G108" s="350" t="s">
        <v>528</v>
      </c>
      <c r="H108" s="350" t="s">
        <v>529</v>
      </c>
      <c r="I108" s="340" t="s">
        <v>528</v>
      </c>
      <c r="J108" s="340" t="s">
        <v>529</v>
      </c>
      <c r="K108" s="340" t="s">
        <v>528</v>
      </c>
      <c r="L108" s="340" t="s">
        <v>529</v>
      </c>
      <c r="M108" s="340" t="s">
        <v>507</v>
      </c>
      <c r="N108" s="340" t="s">
        <v>390</v>
      </c>
      <c r="O108" s="313"/>
      <c r="P108" s="313"/>
      <c r="Q108" s="313"/>
      <c r="R108" s="313"/>
      <c r="S108" s="313"/>
      <c r="T108" s="313"/>
      <c r="U108" s="313"/>
      <c r="V108" s="313"/>
      <c r="W108" s="313"/>
      <c r="X108" s="313"/>
      <c r="Y108" s="313"/>
      <c r="Z108" s="315"/>
      <c r="AA108" s="420"/>
      <c r="AB108" s="315"/>
      <c r="AC108" s="315"/>
      <c r="AD108" s="315"/>
      <c r="AE108" s="315"/>
      <c r="AF108" s="315"/>
      <c r="AG108" s="315"/>
      <c r="AH108" s="315"/>
      <c r="AI108" s="315"/>
      <c r="AJ108" s="315"/>
      <c r="AK108" s="315"/>
    </row>
    <row r="109" spans="3:37">
      <c r="C109" s="319" t="s">
        <v>479</v>
      </c>
      <c r="D109" s="319" t="s">
        <v>530</v>
      </c>
      <c r="E109" s="347">
        <v>9.2799999999999994</v>
      </c>
      <c r="F109" s="342">
        <v>0</v>
      </c>
      <c r="G109" s="342">
        <v>21</v>
      </c>
      <c r="H109" s="342">
        <v>154</v>
      </c>
      <c r="I109" s="349">
        <v>87</v>
      </c>
      <c r="J109" s="349">
        <v>329</v>
      </c>
      <c r="K109" s="349">
        <v>9</v>
      </c>
      <c r="L109" s="349">
        <v>21</v>
      </c>
      <c r="M109" s="319"/>
      <c r="N109" s="348" t="s">
        <v>531</v>
      </c>
      <c r="O109" s="313"/>
      <c r="P109" s="313"/>
      <c r="Q109" s="313"/>
      <c r="R109" s="313"/>
      <c r="S109" s="313"/>
      <c r="T109" s="313"/>
      <c r="U109" s="313"/>
      <c r="V109" s="313"/>
      <c r="W109" s="313"/>
      <c r="X109" s="313"/>
      <c r="Y109" s="313"/>
      <c r="Z109" s="315"/>
      <c r="AA109" s="329"/>
      <c r="AB109" s="329"/>
      <c r="AC109" s="329"/>
      <c r="AD109" s="329"/>
      <c r="AE109" s="329"/>
      <c r="AF109" s="329"/>
      <c r="AG109" s="315"/>
      <c r="AH109" s="315"/>
      <c r="AI109" s="315"/>
      <c r="AJ109" s="315"/>
      <c r="AK109" s="315"/>
    </row>
    <row r="110" spans="3:37">
      <c r="C110" s="319" t="s">
        <v>480</v>
      </c>
      <c r="D110" s="319" t="s">
        <v>530</v>
      </c>
      <c r="E110" s="347">
        <v>8.94</v>
      </c>
      <c r="F110" s="342">
        <v>0</v>
      </c>
      <c r="G110" s="396">
        <v>21</v>
      </c>
      <c r="H110" s="396">
        <v>154</v>
      </c>
      <c r="I110" s="396">
        <v>87</v>
      </c>
      <c r="J110" s="396">
        <v>329</v>
      </c>
      <c r="K110" s="349">
        <v>9</v>
      </c>
      <c r="L110" s="349">
        <v>36</v>
      </c>
      <c r="M110" s="319"/>
      <c r="N110" s="345" t="s">
        <v>532</v>
      </c>
      <c r="O110" s="313"/>
      <c r="P110" s="313"/>
      <c r="Q110" s="313"/>
      <c r="R110" s="313"/>
      <c r="S110" s="313"/>
      <c r="T110" s="313"/>
      <c r="U110" s="313"/>
      <c r="V110" s="313"/>
      <c r="W110" s="313"/>
      <c r="X110" s="313"/>
      <c r="Y110" s="313"/>
      <c r="Z110" s="315"/>
      <c r="AA110" s="329"/>
      <c r="AB110" s="313"/>
      <c r="AC110" s="313"/>
      <c r="AD110" s="313"/>
      <c r="AE110" s="313"/>
      <c r="AF110" s="313"/>
      <c r="AG110" s="313"/>
      <c r="AH110" s="313"/>
      <c r="AI110" s="313"/>
      <c r="AJ110" s="313"/>
      <c r="AK110" s="313"/>
    </row>
    <row r="111" spans="3:37">
      <c r="C111" s="319" t="s">
        <v>481</v>
      </c>
      <c r="D111" s="319" t="s">
        <v>530</v>
      </c>
      <c r="E111" s="347">
        <v>0</v>
      </c>
      <c r="F111" s="342">
        <v>0</v>
      </c>
      <c r="G111" s="342">
        <v>6</v>
      </c>
      <c r="H111" s="342">
        <v>6</v>
      </c>
      <c r="I111" s="349">
        <v>-4</v>
      </c>
      <c r="J111" s="349">
        <v>-4</v>
      </c>
      <c r="K111" s="396">
        <v>0</v>
      </c>
      <c r="L111" s="396"/>
      <c r="M111" s="319"/>
      <c r="N111" s="348" t="s">
        <v>533</v>
      </c>
      <c r="O111" s="313"/>
      <c r="P111" s="313"/>
      <c r="Q111" s="313"/>
      <c r="R111" s="313"/>
      <c r="S111" s="313"/>
      <c r="T111" s="313"/>
      <c r="U111" s="313"/>
      <c r="V111" s="313"/>
      <c r="W111" s="313"/>
      <c r="X111" s="313"/>
      <c r="Y111" s="313"/>
      <c r="Z111" s="315"/>
      <c r="AA111" s="329"/>
      <c r="AB111" s="313"/>
      <c r="AC111" s="313"/>
      <c r="AD111" s="313"/>
      <c r="AE111" s="313"/>
      <c r="AF111" s="313"/>
      <c r="AG111" s="313"/>
      <c r="AH111" s="313"/>
      <c r="AI111" s="313"/>
      <c r="AJ111" s="313"/>
      <c r="AK111" s="313"/>
    </row>
    <row r="112" spans="3:37">
      <c r="C112" s="319" t="s">
        <v>482</v>
      </c>
      <c r="D112" s="319" t="s">
        <v>530</v>
      </c>
      <c r="E112" s="347">
        <v>33.049999999999997</v>
      </c>
      <c r="F112" s="342">
        <v>0</v>
      </c>
      <c r="G112" s="342">
        <v>22</v>
      </c>
      <c r="H112" s="342">
        <v>180</v>
      </c>
      <c r="I112" s="349">
        <v>97</v>
      </c>
      <c r="J112" s="349">
        <v>339</v>
      </c>
      <c r="K112" s="349">
        <v>33</v>
      </c>
      <c r="L112" s="349">
        <v>35</v>
      </c>
      <c r="M112" s="319"/>
      <c r="N112" s="348" t="s">
        <v>531</v>
      </c>
      <c r="O112" s="313"/>
      <c r="P112" s="313"/>
      <c r="Q112" s="313"/>
      <c r="R112" s="313"/>
      <c r="S112" s="313"/>
      <c r="T112" s="313"/>
      <c r="U112" s="313"/>
      <c r="V112" s="313"/>
      <c r="W112" s="313"/>
      <c r="X112" s="313"/>
      <c r="Y112" s="320"/>
      <c r="Z112" s="315"/>
      <c r="AA112" s="329"/>
      <c r="AB112" s="315"/>
      <c r="AC112" s="315"/>
      <c r="AD112" s="315"/>
      <c r="AE112" s="315"/>
      <c r="AF112" s="315"/>
      <c r="AG112" s="315"/>
      <c r="AH112" s="315"/>
      <c r="AI112" s="315"/>
      <c r="AJ112" s="315"/>
      <c r="AK112" s="315"/>
    </row>
    <row r="113" spans="3:37">
      <c r="C113" s="319" t="s">
        <v>504</v>
      </c>
      <c r="D113" s="319"/>
      <c r="E113" s="347">
        <v>0</v>
      </c>
      <c r="F113" s="342"/>
      <c r="G113" s="342"/>
      <c r="H113" s="342"/>
      <c r="I113" s="349"/>
      <c r="J113" s="349"/>
      <c r="K113" s="349"/>
      <c r="L113" s="349"/>
      <c r="M113" s="319"/>
      <c r="N113" s="348"/>
      <c r="O113" s="313"/>
      <c r="P113" s="313"/>
      <c r="Q113" s="313"/>
      <c r="R113" s="313"/>
      <c r="S113" s="313"/>
      <c r="T113" s="313"/>
      <c r="U113" s="313"/>
      <c r="V113" s="313"/>
      <c r="W113" s="313"/>
      <c r="X113" s="313"/>
      <c r="Y113" s="320"/>
      <c r="Z113" s="315"/>
      <c r="AA113" s="329"/>
      <c r="AB113" s="315"/>
      <c r="AC113" s="315"/>
      <c r="AD113" s="315"/>
      <c r="AE113" s="315"/>
      <c r="AF113" s="315"/>
      <c r="AG113" s="315"/>
      <c r="AH113" s="315"/>
      <c r="AI113" s="315"/>
      <c r="AJ113" s="315"/>
      <c r="AK113" s="315"/>
    </row>
    <row r="114" spans="3:37" s="490" customFormat="1">
      <c r="C114" s="531"/>
      <c r="D114" s="531"/>
      <c r="E114" s="540"/>
      <c r="F114" s="537"/>
      <c r="G114" s="537"/>
      <c r="H114" s="537"/>
      <c r="I114" s="542"/>
      <c r="J114" s="542"/>
      <c r="K114" s="542"/>
      <c r="L114" s="542"/>
      <c r="M114" s="531"/>
      <c r="N114" s="541"/>
      <c r="O114" s="529"/>
      <c r="P114" s="529"/>
      <c r="Q114" s="529"/>
      <c r="R114" s="529"/>
      <c r="S114" s="529"/>
      <c r="T114" s="529"/>
      <c r="U114" s="529"/>
      <c r="V114" s="529"/>
      <c r="W114" s="529"/>
      <c r="X114" s="529"/>
      <c r="Y114" s="532"/>
      <c r="Z114" s="530"/>
      <c r="AA114" s="535"/>
      <c r="AB114" s="530"/>
      <c r="AC114" s="530"/>
      <c r="AD114" s="530"/>
      <c r="AE114" s="530"/>
      <c r="AF114" s="530"/>
      <c r="AG114" s="530"/>
      <c r="AH114" s="530"/>
      <c r="AI114" s="530"/>
      <c r="AJ114" s="530"/>
      <c r="AK114" s="530"/>
    </row>
    <row r="115" spans="3:37">
      <c r="C115" s="319" t="s">
        <v>483</v>
      </c>
      <c r="D115" s="319" t="s">
        <v>530</v>
      </c>
      <c r="E115" s="347">
        <v>0</v>
      </c>
      <c r="F115" s="342">
        <v>0</v>
      </c>
      <c r="G115" s="355"/>
      <c r="H115" s="355"/>
      <c r="I115" s="355"/>
      <c r="J115" s="355"/>
      <c r="K115" s="355"/>
      <c r="L115" s="355"/>
      <c r="M115" s="355" t="s">
        <v>534</v>
      </c>
      <c r="N115" s="400"/>
      <c r="O115" s="313"/>
      <c r="P115" s="313"/>
      <c r="Q115" s="313"/>
      <c r="R115" s="313"/>
      <c r="S115" s="313"/>
      <c r="T115" s="313"/>
      <c r="U115" s="313"/>
      <c r="V115" s="313"/>
      <c r="W115" s="313"/>
      <c r="X115" s="313"/>
      <c r="Y115" s="320"/>
      <c r="Z115" s="315"/>
      <c r="AA115" s="329"/>
      <c r="AB115" s="313"/>
      <c r="AC115" s="313"/>
      <c r="AD115" s="313"/>
      <c r="AE115" s="313"/>
      <c r="AF115" s="313"/>
      <c r="AG115" s="313"/>
      <c r="AH115" s="313"/>
      <c r="AI115" s="313"/>
      <c r="AJ115" s="313"/>
      <c r="AK115" s="313"/>
    </row>
    <row r="116" spans="3:37">
      <c r="C116" s="319" t="s">
        <v>484</v>
      </c>
      <c r="D116" s="319" t="s">
        <v>530</v>
      </c>
      <c r="E116" s="347">
        <v>0</v>
      </c>
      <c r="F116" s="342">
        <v>0</v>
      </c>
      <c r="G116" s="396">
        <v>-17</v>
      </c>
      <c r="H116" s="396">
        <v>-17</v>
      </c>
      <c r="I116" s="349">
        <v>-17</v>
      </c>
      <c r="J116" s="349">
        <v>-17</v>
      </c>
      <c r="K116" s="396">
        <v>0</v>
      </c>
      <c r="L116" s="396">
        <v>0</v>
      </c>
      <c r="M116" s="319"/>
      <c r="N116" s="348" t="s">
        <v>533</v>
      </c>
      <c r="O116" s="313"/>
      <c r="P116" s="313"/>
      <c r="Q116" s="313"/>
      <c r="R116" s="313"/>
      <c r="S116" s="313"/>
      <c r="T116" s="313"/>
      <c r="U116" s="313"/>
      <c r="V116" s="313"/>
      <c r="W116" s="313"/>
      <c r="X116" s="313"/>
      <c r="Y116" s="313"/>
      <c r="Z116" s="315"/>
      <c r="AA116" s="329"/>
      <c r="AB116" s="313"/>
      <c r="AC116" s="313"/>
      <c r="AD116" s="313"/>
      <c r="AE116" s="313"/>
      <c r="AF116" s="313"/>
      <c r="AG116" s="313"/>
      <c r="AH116" s="313"/>
      <c r="AI116" s="313"/>
      <c r="AJ116" s="313"/>
      <c r="AK116" s="313"/>
    </row>
    <row r="117" spans="3:37">
      <c r="C117" s="319" t="s">
        <v>485</v>
      </c>
      <c r="D117" s="319" t="s">
        <v>530</v>
      </c>
      <c r="E117" s="347">
        <v>0</v>
      </c>
      <c r="F117" s="342">
        <v>0</v>
      </c>
      <c r="G117" s="396">
        <v>-17</v>
      </c>
      <c r="H117" s="396">
        <v>-17</v>
      </c>
      <c r="I117" s="396">
        <v>-17</v>
      </c>
      <c r="J117" s="396">
        <v>-17</v>
      </c>
      <c r="K117" s="396">
        <v>0</v>
      </c>
      <c r="L117" s="396">
        <v>0</v>
      </c>
      <c r="M117" s="319"/>
      <c r="N117" s="348" t="s">
        <v>535</v>
      </c>
      <c r="O117" s="313"/>
      <c r="P117" s="313"/>
      <c r="Q117" s="313"/>
      <c r="R117" s="313"/>
      <c r="S117" s="313"/>
      <c r="T117" s="313"/>
      <c r="U117" s="313"/>
      <c r="V117" s="313"/>
      <c r="W117" s="313"/>
      <c r="X117" s="313"/>
      <c r="Y117" s="313"/>
      <c r="Z117" s="315"/>
      <c r="AA117" s="329"/>
      <c r="AB117" s="315"/>
      <c r="AC117" s="315"/>
      <c r="AD117" s="315"/>
      <c r="AE117" s="315"/>
      <c r="AF117" s="315"/>
      <c r="AG117" s="315"/>
      <c r="AH117" s="315"/>
      <c r="AI117" s="315"/>
      <c r="AJ117" s="315"/>
      <c r="AK117" s="315"/>
    </row>
    <row r="118" spans="3:37">
      <c r="C118" s="319" t="s">
        <v>486</v>
      </c>
      <c r="D118" s="319" t="s">
        <v>530</v>
      </c>
      <c r="E118" s="347">
        <v>0</v>
      </c>
      <c r="F118" s="342">
        <v>0</v>
      </c>
      <c r="G118" s="355"/>
      <c r="H118" s="355"/>
      <c r="I118" s="355"/>
      <c r="J118" s="355"/>
      <c r="K118" s="355"/>
      <c r="L118" s="355"/>
      <c r="M118" s="355" t="s">
        <v>534</v>
      </c>
      <c r="N118" s="400"/>
      <c r="O118" s="313"/>
      <c r="P118" s="313"/>
      <c r="Q118" s="313"/>
      <c r="R118" s="313"/>
      <c r="S118" s="313"/>
      <c r="T118" s="313"/>
      <c r="U118" s="313"/>
      <c r="V118" s="313"/>
      <c r="W118" s="313"/>
      <c r="X118" s="313"/>
      <c r="Y118" s="313"/>
      <c r="Z118" s="315"/>
      <c r="AA118" s="329"/>
      <c r="AB118" s="315"/>
      <c r="AC118" s="315"/>
      <c r="AD118" s="315"/>
      <c r="AE118" s="315"/>
      <c r="AF118" s="315"/>
      <c r="AG118" s="315"/>
      <c r="AH118" s="315"/>
      <c r="AI118" s="315"/>
      <c r="AJ118" s="315"/>
      <c r="AK118" s="315"/>
    </row>
    <row r="119" spans="3:37">
      <c r="C119" s="319" t="s">
        <v>487</v>
      </c>
      <c r="D119" s="319" t="s">
        <v>530</v>
      </c>
      <c r="E119" s="347">
        <v>0</v>
      </c>
      <c r="F119" s="342">
        <v>0</v>
      </c>
      <c r="G119" s="355"/>
      <c r="H119" s="355"/>
      <c r="I119" s="355"/>
      <c r="J119" s="355"/>
      <c r="K119" s="355"/>
      <c r="L119" s="355"/>
      <c r="M119" s="355" t="s">
        <v>534</v>
      </c>
      <c r="N119" s="400"/>
      <c r="O119" s="313"/>
      <c r="P119" s="313"/>
      <c r="Q119" s="313"/>
      <c r="R119" s="313"/>
      <c r="S119" s="313"/>
      <c r="T119" s="313"/>
      <c r="U119" s="313"/>
      <c r="V119" s="313"/>
      <c r="W119" s="313"/>
      <c r="X119" s="313"/>
      <c r="Y119" s="313"/>
      <c r="Z119" s="315"/>
      <c r="AA119" s="329"/>
      <c r="AB119" s="313"/>
      <c r="AC119" s="313"/>
      <c r="AD119" s="313"/>
      <c r="AE119" s="313"/>
      <c r="AF119" s="313"/>
      <c r="AG119" s="313"/>
      <c r="AH119" s="313"/>
      <c r="AI119" s="313"/>
      <c r="AJ119" s="313"/>
      <c r="AK119" s="313"/>
    </row>
    <row r="120" spans="3:37">
      <c r="C120" s="319" t="s">
        <v>488</v>
      </c>
      <c r="D120" s="319" t="s">
        <v>530</v>
      </c>
      <c r="E120" s="347">
        <v>0</v>
      </c>
      <c r="F120" s="342">
        <v>0</v>
      </c>
      <c r="G120" s="355"/>
      <c r="H120" s="355"/>
      <c r="I120" s="355"/>
      <c r="J120" s="355"/>
      <c r="K120" s="355"/>
      <c r="L120" s="355"/>
      <c r="M120" s="355" t="s">
        <v>534</v>
      </c>
      <c r="N120" s="400"/>
      <c r="O120" s="313"/>
      <c r="P120" s="313"/>
      <c r="Q120" s="313"/>
      <c r="R120" s="313"/>
      <c r="S120" s="313"/>
      <c r="T120" s="313"/>
      <c r="U120" s="313"/>
      <c r="V120" s="313"/>
      <c r="W120" s="313"/>
      <c r="X120" s="313"/>
      <c r="Y120" s="313"/>
      <c r="Z120" s="315"/>
      <c r="AA120" s="329"/>
      <c r="AB120" s="313"/>
      <c r="AC120" s="313"/>
      <c r="AD120" s="313"/>
      <c r="AE120" s="313"/>
      <c r="AF120" s="313"/>
      <c r="AG120" s="313"/>
      <c r="AH120" s="313"/>
      <c r="AI120" s="313"/>
      <c r="AJ120" s="313"/>
      <c r="AK120" s="313"/>
    </row>
    <row r="121" spans="3:37">
      <c r="C121" s="319" t="s">
        <v>489</v>
      </c>
      <c r="D121" s="319" t="s">
        <v>530</v>
      </c>
      <c r="E121" s="347">
        <v>0</v>
      </c>
      <c r="F121" s="342">
        <v>0</v>
      </c>
      <c r="G121" s="355"/>
      <c r="H121" s="355"/>
      <c r="I121" s="355"/>
      <c r="J121" s="355"/>
      <c r="K121" s="355"/>
      <c r="L121" s="355"/>
      <c r="M121" s="355" t="s">
        <v>534</v>
      </c>
      <c r="N121" s="400"/>
      <c r="O121" s="313"/>
      <c r="P121" s="313"/>
      <c r="Q121" s="313"/>
      <c r="R121" s="313"/>
      <c r="S121" s="313"/>
      <c r="T121" s="313"/>
      <c r="U121" s="313"/>
      <c r="V121" s="313"/>
      <c r="W121" s="313"/>
      <c r="X121" s="313"/>
      <c r="Y121" s="313"/>
      <c r="Z121" s="315"/>
      <c r="AA121" s="329"/>
      <c r="AB121" s="315"/>
      <c r="AC121" s="315"/>
      <c r="AD121" s="315"/>
      <c r="AE121" s="315"/>
      <c r="AF121" s="315"/>
      <c r="AG121" s="315"/>
      <c r="AH121" s="315"/>
      <c r="AI121" s="315"/>
      <c r="AJ121" s="315"/>
      <c r="AK121" s="315"/>
    </row>
    <row r="122" spans="3:37">
      <c r="C122" s="319" t="s">
        <v>490</v>
      </c>
      <c r="D122" s="319" t="s">
        <v>530</v>
      </c>
      <c r="E122" s="347">
        <v>0</v>
      </c>
      <c r="F122" s="342">
        <v>0</v>
      </c>
      <c r="G122" s="355"/>
      <c r="H122" s="355"/>
      <c r="I122" s="355"/>
      <c r="J122" s="355"/>
      <c r="K122" s="355"/>
      <c r="L122" s="355"/>
      <c r="M122" s="319" t="s">
        <v>536</v>
      </c>
      <c r="N122" s="319"/>
      <c r="O122" s="313"/>
      <c r="P122" s="313"/>
      <c r="Q122" s="313"/>
      <c r="R122" s="313"/>
      <c r="S122" s="313"/>
      <c r="T122" s="313"/>
      <c r="U122" s="313"/>
      <c r="V122" s="313"/>
      <c r="W122" s="313"/>
      <c r="X122" s="313"/>
      <c r="Y122" s="313"/>
      <c r="Z122" s="315"/>
      <c r="AA122" s="329"/>
      <c r="AB122" s="315"/>
      <c r="AC122" s="315"/>
      <c r="AD122" s="315"/>
      <c r="AE122" s="315"/>
      <c r="AF122" s="315"/>
      <c r="AG122" s="315"/>
      <c r="AH122" s="315"/>
      <c r="AI122" s="315"/>
      <c r="AJ122" s="315"/>
      <c r="AK122" s="315"/>
    </row>
    <row r="123" spans="3:37">
      <c r="C123" s="319" t="s">
        <v>491</v>
      </c>
      <c r="D123" s="319" t="s">
        <v>530</v>
      </c>
      <c r="E123" s="347">
        <v>0</v>
      </c>
      <c r="F123" s="342">
        <v>0</v>
      </c>
      <c r="G123" s="342">
        <v>18</v>
      </c>
      <c r="H123" s="342">
        <v>71</v>
      </c>
      <c r="I123" s="413">
        <v>18</v>
      </c>
      <c r="J123" s="413">
        <v>71</v>
      </c>
      <c r="K123" s="349">
        <v>0</v>
      </c>
      <c r="L123" s="349">
        <v>0</v>
      </c>
      <c r="M123" s="319"/>
      <c r="N123" s="348" t="s">
        <v>531</v>
      </c>
      <c r="O123" s="313"/>
      <c r="P123" s="313"/>
      <c r="Q123" s="313"/>
      <c r="R123" s="313"/>
      <c r="S123" s="313"/>
      <c r="T123" s="313"/>
      <c r="U123" s="313"/>
      <c r="V123" s="313"/>
      <c r="W123" s="313"/>
      <c r="X123" s="313"/>
      <c r="Y123" s="313"/>
      <c r="Z123" s="315"/>
      <c r="AA123" s="315"/>
      <c r="AB123" s="315"/>
      <c r="AC123" s="315"/>
      <c r="AD123" s="315"/>
      <c r="AE123" s="315"/>
      <c r="AF123" s="315"/>
      <c r="AG123" s="315"/>
      <c r="AH123" s="315"/>
      <c r="AI123" s="315"/>
      <c r="AJ123" s="315"/>
      <c r="AK123" s="315"/>
    </row>
    <row r="124" spans="3:37">
      <c r="C124" s="319" t="s">
        <v>492</v>
      </c>
      <c r="D124" s="319" t="s">
        <v>530</v>
      </c>
      <c r="E124" s="347">
        <v>0</v>
      </c>
      <c r="F124" s="342">
        <v>0</v>
      </c>
      <c r="G124" s="342">
        <v>19</v>
      </c>
      <c r="H124" s="342">
        <v>160</v>
      </c>
      <c r="I124" s="413">
        <v>19</v>
      </c>
      <c r="J124" s="413">
        <v>160</v>
      </c>
      <c r="K124" s="349">
        <v>0</v>
      </c>
      <c r="L124" s="349">
        <v>0</v>
      </c>
      <c r="M124" s="319"/>
      <c r="N124" s="348" t="s">
        <v>531</v>
      </c>
      <c r="O124" s="313"/>
      <c r="P124" s="313"/>
      <c r="Q124" s="313"/>
      <c r="R124" s="313"/>
      <c r="S124" s="313"/>
      <c r="T124" s="313"/>
      <c r="U124" s="313"/>
      <c r="V124" s="313"/>
      <c r="W124" s="313"/>
      <c r="X124" s="313"/>
      <c r="Y124" s="313"/>
      <c r="Z124" s="315"/>
      <c r="AA124" s="315"/>
      <c r="AB124" s="315"/>
      <c r="AC124" s="315"/>
      <c r="AD124" s="315"/>
      <c r="AE124" s="315"/>
      <c r="AF124" s="315"/>
      <c r="AG124" s="315"/>
      <c r="AH124" s="315"/>
      <c r="AI124" s="315"/>
      <c r="AJ124" s="315"/>
      <c r="AK124" s="315"/>
    </row>
    <row r="125" spans="3:37">
      <c r="C125" s="313" t="s">
        <v>537</v>
      </c>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row>
    <row r="126" spans="3:37">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c r="AH126" s="313"/>
      <c r="AI126" s="313"/>
      <c r="AJ126" s="313"/>
      <c r="AK126" s="313"/>
    </row>
    <row r="127" spans="3:37">
      <c r="C127" s="314" t="s">
        <v>538</v>
      </c>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c r="AA127" s="313"/>
      <c r="AB127" s="313"/>
      <c r="AC127" s="313"/>
      <c r="AD127" s="313"/>
      <c r="AE127" s="313"/>
      <c r="AF127" s="313"/>
      <c r="AG127" s="313"/>
      <c r="AH127" s="313"/>
      <c r="AI127" s="313"/>
      <c r="AJ127" s="313"/>
      <c r="AK127" s="313"/>
    </row>
    <row r="128" spans="3:37">
      <c r="C128" s="319" t="s">
        <v>539</v>
      </c>
      <c r="D128" s="319" t="s">
        <v>530</v>
      </c>
      <c r="E128" s="414">
        <v>29</v>
      </c>
      <c r="F128" s="401" t="s">
        <v>540</v>
      </c>
      <c r="G128" s="313"/>
      <c r="H128" s="313"/>
      <c r="I128" s="313"/>
      <c r="J128" s="313"/>
      <c r="K128" s="313"/>
      <c r="L128" s="313"/>
      <c r="M128" s="313"/>
      <c r="N128" s="313"/>
      <c r="O128" s="313"/>
      <c r="P128" s="313"/>
      <c r="Q128" s="313"/>
      <c r="R128" s="313"/>
      <c r="S128" s="313"/>
      <c r="T128" s="313"/>
      <c r="U128" s="313"/>
      <c r="V128" s="313"/>
      <c r="W128" s="313"/>
      <c r="X128" s="313"/>
      <c r="Y128" s="313"/>
      <c r="Z128" s="313"/>
      <c r="AA128" s="313"/>
      <c r="AB128" s="313"/>
      <c r="AC128" s="313"/>
      <c r="AD128" s="313"/>
      <c r="AE128" s="313"/>
      <c r="AF128" s="313"/>
      <c r="AG128" s="313"/>
      <c r="AH128" s="313"/>
      <c r="AI128" s="313"/>
      <c r="AJ128" s="313"/>
      <c r="AK128" s="313"/>
    </row>
    <row r="129" spans="3:37">
      <c r="C129" s="319" t="s">
        <v>442</v>
      </c>
      <c r="D129" s="319" t="s">
        <v>530</v>
      </c>
      <c r="E129" s="414">
        <v>29</v>
      </c>
      <c r="F129" s="401" t="s">
        <v>540</v>
      </c>
      <c r="G129" s="313"/>
      <c r="H129" s="313"/>
      <c r="I129" s="313"/>
      <c r="J129" s="313"/>
      <c r="K129" s="313"/>
      <c r="L129" s="313"/>
      <c r="M129" s="313"/>
      <c r="N129" s="313"/>
      <c r="O129" s="313"/>
      <c r="P129" s="313"/>
      <c r="Q129" s="313"/>
      <c r="R129" s="313"/>
      <c r="S129" s="313"/>
      <c r="T129" s="313"/>
      <c r="U129" s="313"/>
      <c r="V129" s="313"/>
      <c r="W129" s="313"/>
      <c r="X129" s="313"/>
      <c r="Y129" s="313"/>
      <c r="Z129" s="313"/>
      <c r="AA129" s="313"/>
      <c r="AB129" s="313"/>
      <c r="AC129" s="313"/>
      <c r="AD129" s="313"/>
      <c r="AE129" s="313"/>
      <c r="AF129" s="313"/>
      <c r="AG129" s="313"/>
      <c r="AH129" s="313"/>
      <c r="AI129" s="313"/>
      <c r="AJ129" s="313"/>
      <c r="AK129" s="313"/>
    </row>
    <row r="130" spans="3:37">
      <c r="C130" s="319" t="s">
        <v>435</v>
      </c>
      <c r="D130" s="319" t="s">
        <v>530</v>
      </c>
      <c r="E130" s="414">
        <v>16.7</v>
      </c>
      <c r="F130" s="401" t="s">
        <v>541</v>
      </c>
      <c r="G130" s="313"/>
      <c r="H130" s="313"/>
      <c r="I130" s="313"/>
      <c r="J130" s="313"/>
      <c r="K130" s="313"/>
      <c r="L130" s="313"/>
      <c r="M130" s="313"/>
      <c r="N130" s="313"/>
      <c r="O130" s="313"/>
      <c r="P130" s="313"/>
      <c r="Q130" s="313"/>
      <c r="R130" s="313"/>
      <c r="S130" s="313"/>
      <c r="T130" s="313"/>
      <c r="U130" s="313"/>
      <c r="V130" s="313"/>
      <c r="W130" s="313"/>
      <c r="X130" s="313"/>
      <c r="Y130" s="313"/>
      <c r="Z130" s="313"/>
      <c r="AA130" s="313"/>
      <c r="AB130" s="313"/>
      <c r="AC130" s="313"/>
      <c r="AD130" s="313"/>
      <c r="AE130" s="313"/>
      <c r="AF130" s="313"/>
      <c r="AG130" s="313"/>
      <c r="AH130" s="313"/>
      <c r="AI130" s="313"/>
      <c r="AJ130" s="313"/>
      <c r="AK130" s="313"/>
    </row>
    <row r="131" spans="3:37">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c r="AA131" s="313"/>
      <c r="AB131" s="313"/>
      <c r="AC131" s="313"/>
      <c r="AD131" s="313"/>
      <c r="AE131" s="313"/>
      <c r="AF131" s="313"/>
      <c r="AG131" s="313"/>
      <c r="AH131" s="313"/>
      <c r="AI131" s="313"/>
      <c r="AJ131" s="313"/>
      <c r="AK131" s="313"/>
    </row>
    <row r="132" spans="3:37" ht="15">
      <c r="C132" s="333" t="s">
        <v>542</v>
      </c>
      <c r="D132" s="322"/>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c r="AA132" s="321"/>
      <c r="AB132" s="321"/>
      <c r="AC132" s="321"/>
      <c r="AD132" s="321"/>
      <c r="AE132" s="321"/>
      <c r="AF132" s="321"/>
      <c r="AG132" s="321"/>
      <c r="AH132" s="321"/>
      <c r="AI132" s="321"/>
      <c r="AJ132" s="321"/>
      <c r="AK132" s="321"/>
    </row>
    <row r="133" spans="3:37">
      <c r="C133" s="319"/>
      <c r="D133" s="319" t="s">
        <v>543</v>
      </c>
      <c r="E133" s="319" t="s">
        <v>506</v>
      </c>
      <c r="F133" s="319">
        <v>2012</v>
      </c>
      <c r="G133" s="319">
        <v>2020</v>
      </c>
      <c r="H133" s="319">
        <v>2035</v>
      </c>
      <c r="I133" s="319">
        <v>2050</v>
      </c>
      <c r="J133" s="321"/>
      <c r="K133" s="321"/>
      <c r="L133" s="321"/>
      <c r="M133" s="321"/>
      <c r="N133" s="321"/>
      <c r="O133" s="321"/>
      <c r="P133" s="321"/>
      <c r="Q133" s="321"/>
      <c r="R133" s="321"/>
      <c r="S133" s="321"/>
      <c r="T133" s="321"/>
      <c r="U133" s="321"/>
      <c r="V133" s="321"/>
      <c r="W133" s="321"/>
      <c r="X133" s="321"/>
      <c r="Y133" s="321"/>
      <c r="Z133" s="321"/>
      <c r="AA133" s="321"/>
      <c r="AB133" s="321"/>
      <c r="AC133" s="321"/>
      <c r="AD133" s="321"/>
      <c r="AE133" s="321"/>
      <c r="AF133" s="321"/>
      <c r="AG133" s="321"/>
      <c r="AH133" s="321"/>
      <c r="AI133" s="321"/>
      <c r="AJ133" s="321"/>
      <c r="AK133" s="321"/>
    </row>
    <row r="134" spans="3:37">
      <c r="C134" s="402" t="s">
        <v>544</v>
      </c>
      <c r="D134" s="402" t="s">
        <v>457</v>
      </c>
      <c r="E134" s="402">
        <v>-11</v>
      </c>
      <c r="F134" s="403">
        <v>-11.2</v>
      </c>
      <c r="G134" s="403">
        <v>-11.2</v>
      </c>
      <c r="H134" s="403">
        <v>16.2</v>
      </c>
      <c r="I134" s="403">
        <v>13.4</v>
      </c>
      <c r="J134" s="321"/>
      <c r="K134" s="321"/>
      <c r="L134" s="321"/>
      <c r="M134" s="321"/>
      <c r="N134" s="321"/>
      <c r="O134" s="321"/>
      <c r="P134" s="321"/>
      <c r="Q134" s="321"/>
      <c r="R134" s="321"/>
      <c r="S134" s="321"/>
      <c r="T134" s="321"/>
      <c r="U134" s="321"/>
      <c r="V134" s="321"/>
      <c r="W134" s="321"/>
      <c r="X134" s="321"/>
      <c r="Y134" s="321"/>
      <c r="Z134" s="321"/>
      <c r="AA134" s="321"/>
      <c r="AB134" s="321"/>
      <c r="AC134" s="321"/>
      <c r="AD134" s="321"/>
      <c r="AE134" s="321"/>
      <c r="AF134" s="321"/>
      <c r="AG134" s="321"/>
      <c r="AH134" s="321"/>
      <c r="AI134" s="321"/>
      <c r="AJ134" s="321"/>
      <c r="AK134" s="321"/>
    </row>
    <row r="135" spans="3:37">
      <c r="C135" s="402" t="s">
        <v>75</v>
      </c>
      <c r="D135" s="402" t="s">
        <v>457</v>
      </c>
      <c r="E135" s="402">
        <v>-11</v>
      </c>
      <c r="F135" s="404">
        <v>-11.2</v>
      </c>
      <c r="G135" s="404">
        <v>-11.2</v>
      </c>
      <c r="H135" s="404">
        <v>16.2</v>
      </c>
      <c r="I135" s="404">
        <v>13.4</v>
      </c>
      <c r="J135" s="321" t="s">
        <v>545</v>
      </c>
    </row>
    <row r="136" spans="3:37">
      <c r="C136" s="321"/>
      <c r="D136" s="322"/>
      <c r="E136" s="321"/>
      <c r="F136" s="321"/>
      <c r="G136" s="321"/>
      <c r="H136" s="321"/>
      <c r="I136" s="321"/>
      <c r="J136" s="321"/>
    </row>
    <row r="137" spans="3:37" ht="15">
      <c r="C137" s="333" t="s">
        <v>546</v>
      </c>
      <c r="D137" s="322"/>
      <c r="E137" s="321"/>
      <c r="F137" s="321"/>
      <c r="G137" s="321"/>
      <c r="H137" s="321"/>
      <c r="I137" s="321"/>
      <c r="J137" s="321"/>
    </row>
    <row r="138" spans="3:37">
      <c r="C138" s="319"/>
      <c r="D138" s="318">
        <v>2020</v>
      </c>
      <c r="E138" s="318">
        <v>2035</v>
      </c>
      <c r="F138" s="318">
        <v>2040</v>
      </c>
      <c r="G138" s="318">
        <v>2050</v>
      </c>
      <c r="H138" s="321"/>
      <c r="I138" s="321"/>
      <c r="J138" s="321"/>
    </row>
    <row r="139" spans="3:37">
      <c r="C139" s="319" t="s">
        <v>547</v>
      </c>
      <c r="D139" s="346">
        <v>8.99</v>
      </c>
      <c r="E139" s="346">
        <v>30.75</v>
      </c>
      <c r="F139" s="346">
        <v>26.9</v>
      </c>
      <c r="G139" s="405">
        <v>13.42</v>
      </c>
      <c r="H139" s="321"/>
      <c r="I139" s="321"/>
      <c r="J139" s="321"/>
    </row>
    <row r="140" spans="3:37">
      <c r="C140" s="319" t="s">
        <v>548</v>
      </c>
      <c r="D140" s="346">
        <v>13.78</v>
      </c>
      <c r="E140" s="346">
        <v>30.69</v>
      </c>
      <c r="F140" s="405">
        <v>16.16</v>
      </c>
      <c r="G140" s="346">
        <v>0.33</v>
      </c>
      <c r="H140" s="321"/>
      <c r="I140" s="321"/>
      <c r="J140" s="321"/>
    </row>
    <row r="141" spans="3:37">
      <c r="C141" s="319" t="s">
        <v>549</v>
      </c>
      <c r="D141" s="346">
        <v>-15.42</v>
      </c>
      <c r="E141" s="346">
        <v>-2.35</v>
      </c>
      <c r="F141" s="346">
        <v>4.63</v>
      </c>
      <c r="G141" s="346">
        <v>5.84</v>
      </c>
      <c r="H141" s="321"/>
      <c r="I141" s="321"/>
      <c r="J141" s="321"/>
    </row>
    <row r="142" spans="3:37">
      <c r="C142" s="319" t="s">
        <v>550</v>
      </c>
      <c r="D142" s="405">
        <v>-11.24</v>
      </c>
      <c r="E142" s="346">
        <v>-3.52</v>
      </c>
      <c r="F142" s="346">
        <v>-3.65</v>
      </c>
      <c r="G142" s="346">
        <v>-1.79</v>
      </c>
      <c r="H142" s="321"/>
      <c r="I142" s="321"/>
      <c r="J142" s="321"/>
    </row>
    <row r="143" spans="3:37">
      <c r="C143" s="321" t="s">
        <v>551</v>
      </c>
      <c r="D143" s="322"/>
      <c r="E143" s="321"/>
      <c r="F143" s="321"/>
      <c r="G143" s="321"/>
      <c r="H143" s="321"/>
      <c r="I143" s="321"/>
      <c r="J143" s="321"/>
    </row>
    <row r="144" spans="3:37">
      <c r="C144" s="321"/>
      <c r="D144" s="322"/>
      <c r="E144" s="321"/>
      <c r="F144" s="321"/>
      <c r="G144" s="321"/>
      <c r="H144" s="321"/>
      <c r="I144" s="321"/>
      <c r="J144" s="321"/>
    </row>
    <row r="145" spans="2:10">
      <c r="C145" s="316"/>
      <c r="D145" s="316"/>
      <c r="E145" s="316"/>
      <c r="F145" s="316"/>
      <c r="G145" s="316"/>
      <c r="H145" s="316"/>
      <c r="I145" s="321"/>
      <c r="J145" s="321"/>
    </row>
    <row r="146" spans="2:10" ht="15">
      <c r="C146" s="333" t="s">
        <v>552</v>
      </c>
      <c r="D146" s="316"/>
      <c r="E146" s="316"/>
      <c r="F146" s="316"/>
      <c r="G146" s="316"/>
      <c r="H146" s="316"/>
      <c r="I146" s="321"/>
      <c r="J146" s="321"/>
    </row>
    <row r="147" spans="2:10">
      <c r="C147" s="402"/>
      <c r="D147" s="402"/>
      <c r="E147" s="402"/>
      <c r="F147" s="402"/>
      <c r="G147" s="402"/>
      <c r="H147" s="402"/>
      <c r="I147" s="321"/>
      <c r="J147" s="321"/>
    </row>
    <row r="148" spans="2:10">
      <c r="C148" s="402"/>
      <c r="D148" s="402"/>
      <c r="E148" s="406" t="s">
        <v>553</v>
      </c>
      <c r="F148" s="406"/>
      <c r="G148" s="402" t="s">
        <v>554</v>
      </c>
      <c r="H148" s="402" t="s">
        <v>555</v>
      </c>
      <c r="I148" s="321"/>
      <c r="J148" s="321"/>
    </row>
    <row r="149" spans="2:10">
      <c r="C149" s="402"/>
      <c r="D149" s="402" t="s">
        <v>556</v>
      </c>
      <c r="E149" s="402" t="s">
        <v>557</v>
      </c>
      <c r="F149" s="402" t="s">
        <v>558</v>
      </c>
      <c r="G149" s="402" t="s">
        <v>559</v>
      </c>
      <c r="H149" s="402" t="s">
        <v>559</v>
      </c>
      <c r="I149" s="321"/>
      <c r="J149" s="321"/>
    </row>
    <row r="150" spans="2:10">
      <c r="C150" s="402" t="s">
        <v>560</v>
      </c>
      <c r="D150" s="402" t="s">
        <v>561</v>
      </c>
      <c r="E150" s="342">
        <v>210</v>
      </c>
      <c r="F150" s="342">
        <v>-32</v>
      </c>
      <c r="G150" s="407">
        <v>-5.0000000000000001E-3</v>
      </c>
      <c r="H150" s="407">
        <v>0</v>
      </c>
      <c r="I150" s="321"/>
      <c r="J150" s="321"/>
    </row>
    <row r="151" spans="2:10">
      <c r="B151" s="321"/>
      <c r="C151" s="402" t="s">
        <v>562</v>
      </c>
      <c r="D151" s="402" t="s">
        <v>561</v>
      </c>
      <c r="E151" s="342">
        <v>342</v>
      </c>
      <c r="F151" s="342">
        <v>100</v>
      </c>
      <c r="G151" s="407">
        <v>0</v>
      </c>
      <c r="H151" s="407">
        <v>0</v>
      </c>
      <c r="I151" s="321"/>
    </row>
    <row r="152" spans="2:10">
      <c r="B152" s="321"/>
      <c r="C152" s="402" t="s">
        <v>563</v>
      </c>
      <c r="D152" s="402" t="s">
        <v>561</v>
      </c>
      <c r="E152" s="342">
        <v>346</v>
      </c>
      <c r="F152" s="342">
        <v>104</v>
      </c>
      <c r="G152" s="407">
        <v>2.1999999999999999E-2</v>
      </c>
      <c r="H152" s="407">
        <v>7.0000000000000001E-3</v>
      </c>
      <c r="I152" s="321"/>
    </row>
    <row r="153" spans="2:10">
      <c r="B153" s="321"/>
      <c r="C153" s="402" t="s">
        <v>564</v>
      </c>
      <c r="D153" s="402" t="s">
        <v>561</v>
      </c>
      <c r="E153" s="342">
        <v>333</v>
      </c>
      <c r="F153" s="342">
        <v>91</v>
      </c>
      <c r="G153" s="407">
        <v>2.7E-2</v>
      </c>
      <c r="H153" s="407">
        <v>6.0000000000000001E-3</v>
      </c>
      <c r="I153" s="321"/>
    </row>
    <row r="154" spans="2:10">
      <c r="B154" s="321"/>
      <c r="C154" s="402" t="s">
        <v>565</v>
      </c>
      <c r="D154" s="402" t="s">
        <v>561</v>
      </c>
      <c r="E154" s="342">
        <v>323</v>
      </c>
      <c r="F154" s="342">
        <v>80</v>
      </c>
      <c r="G154" s="407">
        <v>8.9999999999999993E-3</v>
      </c>
      <c r="H154" s="407">
        <v>-4.2999999999999997E-2</v>
      </c>
      <c r="I154" s="321"/>
    </row>
    <row r="155" spans="2:10">
      <c r="B155" s="321"/>
      <c r="C155" s="402" t="s">
        <v>566</v>
      </c>
      <c r="D155" s="402" t="s">
        <v>561</v>
      </c>
      <c r="E155" s="342">
        <v>368</v>
      </c>
      <c r="F155" s="342">
        <v>126</v>
      </c>
      <c r="G155" s="407">
        <v>0.06</v>
      </c>
      <c r="H155" s="407">
        <v>-6.0000000000000001E-3</v>
      </c>
      <c r="I155" s="321"/>
    </row>
    <row r="156" spans="2:10">
      <c r="B156" s="321"/>
      <c r="C156" s="402" t="s">
        <v>567</v>
      </c>
      <c r="D156" s="402" t="s">
        <v>568</v>
      </c>
      <c r="E156" s="417">
        <v>1.63</v>
      </c>
      <c r="F156" s="417">
        <v>1.63</v>
      </c>
      <c r="G156" s="418">
        <v>1.2E-2</v>
      </c>
      <c r="H156" s="418">
        <v>3.0000000000000001E-3</v>
      </c>
      <c r="I156" s="321"/>
    </row>
    <row r="157" spans="2:10">
      <c r="B157" s="321"/>
      <c r="C157" s="402" t="s">
        <v>435</v>
      </c>
      <c r="D157" s="402" t="s">
        <v>569</v>
      </c>
      <c r="E157" s="408">
        <v>346</v>
      </c>
      <c r="F157" s="408">
        <v>104</v>
      </c>
      <c r="G157" s="409">
        <v>2.1999999999999999E-2</v>
      </c>
      <c r="H157" s="409">
        <v>7.0000000000000001E-3</v>
      </c>
      <c r="I157" s="321" t="s">
        <v>570</v>
      </c>
    </row>
    <row r="158" spans="2:10">
      <c r="B158" s="321"/>
      <c r="C158" s="402" t="s">
        <v>571</v>
      </c>
      <c r="D158" s="402" t="s">
        <v>569</v>
      </c>
      <c r="E158" s="408">
        <v>368</v>
      </c>
      <c r="F158" s="408">
        <v>126</v>
      </c>
      <c r="G158" s="409">
        <v>0.06</v>
      </c>
      <c r="H158" s="409">
        <v>-6.0000000000000001E-3</v>
      </c>
      <c r="I158" s="321" t="s">
        <v>572</v>
      </c>
    </row>
    <row r="159" spans="2:10">
      <c r="B159" s="321"/>
      <c r="C159" s="321" t="s">
        <v>573</v>
      </c>
      <c r="D159" s="322"/>
      <c r="E159" s="321"/>
      <c r="F159" s="321"/>
      <c r="G159" s="321"/>
      <c r="H159" s="321"/>
      <c r="I159" s="321"/>
    </row>
    <row r="161" spans="2:21" ht="21">
      <c r="B161" s="309" t="s">
        <v>580</v>
      </c>
      <c r="C161" s="308"/>
      <c r="D161" s="308"/>
      <c r="E161" s="308"/>
      <c r="F161" s="308"/>
      <c r="G161" s="308"/>
      <c r="H161" s="308"/>
      <c r="I161" s="308"/>
      <c r="J161" s="308"/>
      <c r="K161" s="308"/>
      <c r="L161" s="308"/>
      <c r="M161" s="308"/>
      <c r="N161" s="308"/>
      <c r="O161" s="308"/>
      <c r="P161" s="308"/>
      <c r="Q161" s="308"/>
      <c r="R161" s="308"/>
      <c r="S161" s="308"/>
      <c r="T161" s="308"/>
      <c r="U161" s="308"/>
    </row>
    <row r="162" spans="2:21">
      <c r="B162" s="307" t="s">
        <v>581</v>
      </c>
      <c r="C162" s="307"/>
      <c r="D162" s="307"/>
      <c r="E162" s="307"/>
      <c r="F162" s="307"/>
      <c r="G162" s="307"/>
      <c r="H162" s="307"/>
      <c r="I162" s="307"/>
      <c r="J162" s="307"/>
      <c r="K162" s="307"/>
      <c r="L162" s="307"/>
      <c r="M162" s="307"/>
      <c r="N162" s="307"/>
      <c r="O162" s="307"/>
      <c r="P162" s="307"/>
      <c r="Q162" s="307"/>
      <c r="R162" s="307"/>
      <c r="S162" s="307"/>
      <c r="T162" s="307"/>
      <c r="U162" s="307"/>
    </row>
    <row r="163" spans="2:21" ht="13.5" thickBot="1">
      <c r="B163" s="307"/>
      <c r="C163" s="307"/>
      <c r="D163" s="307"/>
      <c r="E163" s="307" t="s">
        <v>582</v>
      </c>
      <c r="F163" s="307"/>
      <c r="G163" s="307"/>
      <c r="H163" s="307"/>
      <c r="I163" s="307"/>
      <c r="J163" s="307"/>
      <c r="K163" s="307"/>
      <c r="L163" s="307" t="s">
        <v>583</v>
      </c>
      <c r="M163" s="307"/>
      <c r="N163" s="307"/>
      <c r="O163" s="307"/>
      <c r="P163" s="307"/>
      <c r="Q163" s="307"/>
      <c r="R163" s="307"/>
      <c r="S163" s="307"/>
      <c r="T163" s="307"/>
      <c r="U163" s="307"/>
    </row>
    <row r="164" spans="2:21">
      <c r="B164" s="307"/>
      <c r="C164" s="306" t="s">
        <v>584</v>
      </c>
      <c r="D164" s="305" t="s">
        <v>108</v>
      </c>
      <c r="E164" s="305">
        <v>2015</v>
      </c>
      <c r="F164" s="305">
        <v>2020</v>
      </c>
      <c r="G164" s="305">
        <v>2035</v>
      </c>
      <c r="H164" s="305">
        <v>2050</v>
      </c>
      <c r="I164" s="305" t="s">
        <v>585</v>
      </c>
      <c r="J164" s="305" t="s">
        <v>586</v>
      </c>
      <c r="K164" s="305" t="s">
        <v>587</v>
      </c>
      <c r="L164" s="305" t="s">
        <v>588</v>
      </c>
      <c r="M164" s="305" t="s">
        <v>589</v>
      </c>
      <c r="N164" s="305">
        <v>2015</v>
      </c>
      <c r="O164" s="305">
        <v>2020</v>
      </c>
      <c r="P164" s="305">
        <v>2035</v>
      </c>
      <c r="Q164" s="305">
        <v>2050</v>
      </c>
      <c r="R164" s="282" t="s">
        <v>506</v>
      </c>
      <c r="S164" s="305" t="s">
        <v>590</v>
      </c>
      <c r="T164" s="304" t="s">
        <v>591</v>
      </c>
      <c r="U164" s="307"/>
    </row>
    <row r="165" spans="2:21">
      <c r="B165" s="307"/>
      <c r="C165" s="303" t="s">
        <v>592</v>
      </c>
      <c r="D165" s="302" t="s">
        <v>593</v>
      </c>
      <c r="E165" s="334">
        <v>55.2</v>
      </c>
      <c r="F165" s="334">
        <v>78.900000000000006</v>
      </c>
      <c r="G165" s="334">
        <v>314.39999999999998</v>
      </c>
      <c r="H165" s="328">
        <v>314.39999999999998</v>
      </c>
      <c r="I165" s="416">
        <v>2015</v>
      </c>
      <c r="J165" s="325">
        <v>1</v>
      </c>
      <c r="K165" s="325">
        <v>1</v>
      </c>
      <c r="L165" s="301">
        <v>1</v>
      </c>
      <c r="M165" s="300">
        <v>0</v>
      </c>
      <c r="N165" s="299">
        <v>55.2</v>
      </c>
      <c r="O165" s="299">
        <v>78.900000000000006</v>
      </c>
      <c r="P165" s="299">
        <v>314.39999999999998</v>
      </c>
      <c r="Q165" s="299">
        <v>314.39999999999998</v>
      </c>
      <c r="R165" s="299">
        <v>55.2</v>
      </c>
      <c r="S165" s="302"/>
      <c r="T165" s="447" t="s">
        <v>728</v>
      </c>
      <c r="U165" s="307"/>
    </row>
    <row r="166" spans="2:21">
      <c r="B166" s="307"/>
      <c r="C166" s="303" t="s">
        <v>594</v>
      </c>
      <c r="D166" s="302" t="s">
        <v>595</v>
      </c>
      <c r="E166" s="334">
        <v>266.10000000000002</v>
      </c>
      <c r="F166" s="298">
        <v>331.2</v>
      </c>
      <c r="G166" s="298">
        <v>573.1</v>
      </c>
      <c r="H166" s="328">
        <v>573.1</v>
      </c>
      <c r="I166" s="416">
        <v>2015</v>
      </c>
      <c r="J166" s="325">
        <v>1</v>
      </c>
      <c r="K166" s="325">
        <v>1</v>
      </c>
      <c r="L166" s="301">
        <v>1</v>
      </c>
      <c r="M166" s="300">
        <v>0</v>
      </c>
      <c r="N166" s="299">
        <v>266.10000000000002</v>
      </c>
      <c r="O166" s="299">
        <v>331.2</v>
      </c>
      <c r="P166" s="299">
        <v>573.1</v>
      </c>
      <c r="Q166" s="299">
        <v>573.1</v>
      </c>
      <c r="R166" s="299">
        <v>266.10000000000002</v>
      </c>
      <c r="S166" s="297"/>
      <c r="T166" s="447" t="s">
        <v>728</v>
      </c>
      <c r="U166" s="307"/>
    </row>
    <row r="167" spans="2:21">
      <c r="B167" s="307"/>
      <c r="C167" s="303" t="s">
        <v>596</v>
      </c>
      <c r="D167" s="302" t="s">
        <v>595</v>
      </c>
      <c r="E167" s="334">
        <v>445.5</v>
      </c>
      <c r="F167" s="298">
        <v>513.29999999999995</v>
      </c>
      <c r="G167" s="298">
        <v>769.9</v>
      </c>
      <c r="H167" s="328">
        <v>769.9</v>
      </c>
      <c r="I167" s="416">
        <v>2015</v>
      </c>
      <c r="J167" s="325">
        <v>1</v>
      </c>
      <c r="K167" s="325">
        <v>1</v>
      </c>
      <c r="L167" s="301">
        <v>1</v>
      </c>
      <c r="M167" s="300">
        <v>0</v>
      </c>
      <c r="N167" s="299">
        <v>445.5</v>
      </c>
      <c r="O167" s="299">
        <v>513.29999999999995</v>
      </c>
      <c r="P167" s="299">
        <v>769.9</v>
      </c>
      <c r="Q167" s="299">
        <v>769.9</v>
      </c>
      <c r="R167" s="299">
        <v>445.5</v>
      </c>
      <c r="S167" s="297"/>
      <c r="T167" s="447" t="s">
        <v>728</v>
      </c>
      <c r="U167" s="302"/>
    </row>
    <row r="168" spans="2:21">
      <c r="B168" s="307"/>
      <c r="C168" s="303" t="s">
        <v>597</v>
      </c>
      <c r="D168" s="302" t="s">
        <v>457</v>
      </c>
      <c r="E168" s="334">
        <v>72</v>
      </c>
      <c r="F168" s="334">
        <v>73.3</v>
      </c>
      <c r="G168" s="334">
        <v>78.3</v>
      </c>
      <c r="H168" s="328">
        <v>78.3</v>
      </c>
      <c r="I168" s="416">
        <v>2015</v>
      </c>
      <c r="J168" s="325">
        <v>1</v>
      </c>
      <c r="K168" s="325">
        <v>1</v>
      </c>
      <c r="L168" s="301">
        <v>1</v>
      </c>
      <c r="M168" s="300">
        <v>0</v>
      </c>
      <c r="N168" s="299">
        <v>72</v>
      </c>
      <c r="O168" s="299">
        <v>73.3</v>
      </c>
      <c r="P168" s="299">
        <v>78.3</v>
      </c>
      <c r="Q168" s="299">
        <v>78.3</v>
      </c>
      <c r="R168" s="299">
        <v>72</v>
      </c>
      <c r="S168" s="302"/>
      <c r="T168" s="447" t="s">
        <v>728</v>
      </c>
      <c r="U168" s="307"/>
    </row>
    <row r="169" spans="2:21">
      <c r="B169" s="307"/>
      <c r="C169" s="303" t="s">
        <v>598</v>
      </c>
      <c r="D169" s="302" t="s">
        <v>595</v>
      </c>
      <c r="E169" s="334">
        <v>485.5</v>
      </c>
      <c r="F169" s="298">
        <v>553.29999999999995</v>
      </c>
      <c r="G169" s="298">
        <v>809.9</v>
      </c>
      <c r="H169" s="328">
        <v>809.9</v>
      </c>
      <c r="I169" s="416">
        <v>2015</v>
      </c>
      <c r="J169" s="325">
        <v>1</v>
      </c>
      <c r="K169" s="325">
        <v>1</v>
      </c>
      <c r="L169" s="301">
        <v>1</v>
      </c>
      <c r="M169" s="300">
        <v>0</v>
      </c>
      <c r="N169" s="299">
        <v>485.5</v>
      </c>
      <c r="O169" s="299">
        <v>553.29999999999995</v>
      </c>
      <c r="P169" s="299">
        <v>809.9</v>
      </c>
      <c r="Q169" s="299">
        <v>809.9</v>
      </c>
      <c r="R169" s="299">
        <v>485.5</v>
      </c>
      <c r="S169" s="297"/>
      <c r="T169" s="447" t="s">
        <v>728</v>
      </c>
      <c r="U169" s="307"/>
    </row>
    <row r="170" spans="2:21">
      <c r="B170" s="307"/>
      <c r="C170" s="296" t="s">
        <v>599</v>
      </c>
      <c r="D170" s="302" t="s">
        <v>457</v>
      </c>
      <c r="E170" s="334">
        <v>102.2</v>
      </c>
      <c r="F170" s="334">
        <v>119.9</v>
      </c>
      <c r="G170" s="334">
        <v>135.30000000000001</v>
      </c>
      <c r="H170" s="328">
        <v>135.30000000000001</v>
      </c>
      <c r="I170" s="416">
        <v>2015</v>
      </c>
      <c r="J170" s="325">
        <v>1</v>
      </c>
      <c r="K170" s="325">
        <v>1</v>
      </c>
      <c r="L170" s="301">
        <v>1</v>
      </c>
      <c r="M170" s="300">
        <v>0</v>
      </c>
      <c r="N170" s="299">
        <v>102.2</v>
      </c>
      <c r="O170" s="299">
        <v>119.9</v>
      </c>
      <c r="P170" s="299">
        <v>135.30000000000001</v>
      </c>
      <c r="Q170" s="299">
        <v>135.30000000000001</v>
      </c>
      <c r="R170" s="299">
        <v>102.2</v>
      </c>
      <c r="S170" s="302"/>
      <c r="T170" s="447" t="s">
        <v>728</v>
      </c>
      <c r="U170" s="307"/>
    </row>
    <row r="171" spans="2:21">
      <c r="B171" s="307"/>
      <c r="C171" s="303" t="s">
        <v>600</v>
      </c>
      <c r="D171" s="302" t="s">
        <v>457</v>
      </c>
      <c r="E171" s="334">
        <v>20.2</v>
      </c>
      <c r="F171" s="334">
        <v>24.9</v>
      </c>
      <c r="G171" s="334">
        <v>25.8</v>
      </c>
      <c r="H171" s="328">
        <v>25.8</v>
      </c>
      <c r="I171" s="416">
        <v>2015</v>
      </c>
      <c r="J171" s="325">
        <v>1</v>
      </c>
      <c r="K171" s="325">
        <v>1</v>
      </c>
      <c r="L171" s="301">
        <v>1</v>
      </c>
      <c r="M171" s="338">
        <v>0</v>
      </c>
      <c r="N171" s="299">
        <v>20.2</v>
      </c>
      <c r="O171" s="299">
        <v>24.9</v>
      </c>
      <c r="P171" s="299">
        <v>25.8</v>
      </c>
      <c r="Q171" s="299">
        <v>25.8</v>
      </c>
      <c r="R171" s="299">
        <v>20.2</v>
      </c>
      <c r="S171" s="302"/>
      <c r="T171" s="447" t="s">
        <v>728</v>
      </c>
      <c r="U171" s="307"/>
    </row>
    <row r="172" spans="2:21">
      <c r="B172" s="307"/>
      <c r="C172" s="303" t="s">
        <v>601</v>
      </c>
      <c r="D172" s="302" t="s">
        <v>457</v>
      </c>
      <c r="E172" s="334">
        <v>69.8</v>
      </c>
      <c r="F172" s="334">
        <v>71.099999999999994</v>
      </c>
      <c r="G172" s="334">
        <v>76.099999999999994</v>
      </c>
      <c r="H172" s="328">
        <v>76.099999999999994</v>
      </c>
      <c r="I172" s="416">
        <v>2015</v>
      </c>
      <c r="J172" s="325">
        <v>1</v>
      </c>
      <c r="K172" s="325">
        <v>1</v>
      </c>
      <c r="L172" s="301">
        <v>1</v>
      </c>
      <c r="M172" s="300">
        <v>0</v>
      </c>
      <c r="N172" s="299">
        <v>69.8</v>
      </c>
      <c r="O172" s="299">
        <v>71.099999999999994</v>
      </c>
      <c r="P172" s="299">
        <v>76.099999999999994</v>
      </c>
      <c r="Q172" s="299">
        <v>76.099999999999994</v>
      </c>
      <c r="R172" s="299">
        <v>69.8</v>
      </c>
      <c r="S172" s="302"/>
      <c r="T172" s="447" t="s">
        <v>728</v>
      </c>
      <c r="U172" s="307"/>
    </row>
    <row r="173" spans="2:21">
      <c r="B173" s="307"/>
      <c r="C173" s="296" t="s">
        <v>602</v>
      </c>
      <c r="D173" s="302" t="s">
        <v>457</v>
      </c>
      <c r="E173" s="334">
        <v>119.6</v>
      </c>
      <c r="F173" s="334">
        <v>138.4</v>
      </c>
      <c r="G173" s="335">
        <v>154.6</v>
      </c>
      <c r="H173" s="328">
        <v>154.6</v>
      </c>
      <c r="I173" s="416">
        <v>2015</v>
      </c>
      <c r="J173" s="325">
        <v>1</v>
      </c>
      <c r="K173" s="325">
        <v>1</v>
      </c>
      <c r="L173" s="301">
        <v>1</v>
      </c>
      <c r="M173" s="300">
        <v>0</v>
      </c>
      <c r="N173" s="299">
        <v>119.6</v>
      </c>
      <c r="O173" s="299">
        <v>138.4</v>
      </c>
      <c r="P173" s="299">
        <v>154.6</v>
      </c>
      <c r="Q173" s="299">
        <v>154.6</v>
      </c>
      <c r="R173" s="299">
        <v>119.6</v>
      </c>
      <c r="S173" s="302"/>
      <c r="T173" s="447" t="s">
        <v>728</v>
      </c>
      <c r="U173" s="307"/>
    </row>
    <row r="174" spans="2:21">
      <c r="B174" s="307"/>
      <c r="C174" s="296" t="s">
        <v>603</v>
      </c>
      <c r="D174" s="302" t="s">
        <v>457</v>
      </c>
      <c r="E174" s="334">
        <v>118.5</v>
      </c>
      <c r="F174" s="334">
        <v>137.19999999999999</v>
      </c>
      <c r="G174" s="335">
        <v>153.4</v>
      </c>
      <c r="H174" s="328">
        <v>153.4</v>
      </c>
      <c r="I174" s="416">
        <v>2015</v>
      </c>
      <c r="J174" s="325">
        <v>1</v>
      </c>
      <c r="K174" s="325">
        <v>1</v>
      </c>
      <c r="L174" s="301">
        <v>1</v>
      </c>
      <c r="M174" s="300">
        <v>0</v>
      </c>
      <c r="N174" s="299">
        <v>118.5</v>
      </c>
      <c r="O174" s="299">
        <v>137.19999999999999</v>
      </c>
      <c r="P174" s="299">
        <v>153.4</v>
      </c>
      <c r="Q174" s="299">
        <v>153.4</v>
      </c>
      <c r="R174" s="299">
        <v>118.5</v>
      </c>
      <c r="S174" s="302"/>
      <c r="T174" s="447" t="s">
        <v>728</v>
      </c>
      <c r="U174" s="307"/>
    </row>
    <row r="175" spans="2:21">
      <c r="B175" s="307"/>
      <c r="C175" s="296" t="s">
        <v>604</v>
      </c>
      <c r="D175" s="302" t="s">
        <v>457</v>
      </c>
      <c r="E175" s="334">
        <v>115.7</v>
      </c>
      <c r="F175" s="334">
        <v>134.4</v>
      </c>
      <c r="G175" s="334">
        <v>150.6</v>
      </c>
      <c r="H175" s="328">
        <v>150.6</v>
      </c>
      <c r="I175" s="416">
        <v>2015</v>
      </c>
      <c r="J175" s="325">
        <v>1</v>
      </c>
      <c r="K175" s="325">
        <v>1</v>
      </c>
      <c r="L175" s="301">
        <v>1</v>
      </c>
      <c r="M175" s="300">
        <v>0</v>
      </c>
      <c r="N175" s="299">
        <v>115.7</v>
      </c>
      <c r="O175" s="299">
        <v>134.4</v>
      </c>
      <c r="P175" s="299">
        <v>150.6</v>
      </c>
      <c r="Q175" s="299">
        <v>150.6</v>
      </c>
      <c r="R175" s="299">
        <v>115.7</v>
      </c>
      <c r="S175" s="302"/>
      <c r="T175" s="447" t="s">
        <v>728</v>
      </c>
      <c r="U175" s="307"/>
    </row>
    <row r="176" spans="2:21">
      <c r="B176" s="307"/>
      <c r="C176" s="296" t="s">
        <v>605</v>
      </c>
      <c r="D176" s="302" t="s">
        <v>457</v>
      </c>
      <c r="E176" s="334">
        <v>89.8</v>
      </c>
      <c r="F176" s="334">
        <v>108.5</v>
      </c>
      <c r="G176" s="334">
        <v>124.7</v>
      </c>
      <c r="H176" s="328">
        <v>124.7</v>
      </c>
      <c r="I176" s="416">
        <v>2015</v>
      </c>
      <c r="J176" s="325">
        <v>1</v>
      </c>
      <c r="K176" s="325">
        <v>1</v>
      </c>
      <c r="L176" s="301">
        <v>1</v>
      </c>
      <c r="M176" s="300">
        <v>0</v>
      </c>
      <c r="N176" s="299">
        <v>89.8</v>
      </c>
      <c r="O176" s="299">
        <v>108.5</v>
      </c>
      <c r="P176" s="299">
        <v>124.7</v>
      </c>
      <c r="Q176" s="299">
        <v>124.7</v>
      </c>
      <c r="R176" s="299">
        <v>89.8</v>
      </c>
      <c r="S176" s="302"/>
      <c r="T176" s="447" t="s">
        <v>728</v>
      </c>
      <c r="U176" s="307"/>
    </row>
    <row r="177" spans="2:21">
      <c r="B177" s="307"/>
      <c r="C177" s="303" t="s">
        <v>606</v>
      </c>
      <c r="D177" s="302" t="s">
        <v>457</v>
      </c>
      <c r="E177" s="334">
        <v>34.799999999999997</v>
      </c>
      <c r="F177" s="334">
        <v>34.799999999999997</v>
      </c>
      <c r="G177" s="334">
        <v>34.799999999999997</v>
      </c>
      <c r="H177" s="328">
        <v>34.799999999999997</v>
      </c>
      <c r="I177" s="416">
        <v>2015</v>
      </c>
      <c r="J177" s="325">
        <v>1</v>
      </c>
      <c r="K177" s="325">
        <v>1</v>
      </c>
      <c r="L177" s="301">
        <v>1</v>
      </c>
      <c r="M177" s="338">
        <v>0</v>
      </c>
      <c r="N177" s="299">
        <v>34.799999999999997</v>
      </c>
      <c r="O177" s="299">
        <v>34.799999999999997</v>
      </c>
      <c r="P177" s="299">
        <v>34.799999999999997</v>
      </c>
      <c r="Q177" s="299">
        <v>34.799999999999997</v>
      </c>
      <c r="R177" s="299">
        <v>34.799999999999997</v>
      </c>
      <c r="S177" s="302"/>
      <c r="T177" s="447" t="s">
        <v>728</v>
      </c>
      <c r="U177" s="307"/>
    </row>
    <row r="178" spans="2:21">
      <c r="B178" s="307"/>
      <c r="C178" s="303" t="s">
        <v>607</v>
      </c>
      <c r="D178" s="302" t="s">
        <v>457</v>
      </c>
      <c r="E178" s="334">
        <v>28.7</v>
      </c>
      <c r="F178" s="334">
        <v>28.7</v>
      </c>
      <c r="G178" s="334">
        <v>28.7</v>
      </c>
      <c r="H178" s="328">
        <v>28.7</v>
      </c>
      <c r="I178" s="416">
        <v>2015</v>
      </c>
      <c r="J178" s="325">
        <v>1</v>
      </c>
      <c r="K178" s="325">
        <v>1</v>
      </c>
      <c r="L178" s="301">
        <v>1</v>
      </c>
      <c r="M178" s="338">
        <v>0</v>
      </c>
      <c r="N178" s="299">
        <v>28.7</v>
      </c>
      <c r="O178" s="299">
        <v>28.7</v>
      </c>
      <c r="P178" s="299">
        <v>28.7</v>
      </c>
      <c r="Q178" s="299">
        <v>28.7</v>
      </c>
      <c r="R178" s="299">
        <v>28.7</v>
      </c>
      <c r="S178" s="302"/>
      <c r="T178" s="447" t="s">
        <v>728</v>
      </c>
      <c r="U178" s="307"/>
    </row>
    <row r="179" spans="2:21">
      <c r="B179" s="307"/>
      <c r="C179" s="303" t="s">
        <v>608</v>
      </c>
      <c r="D179" s="302" t="s">
        <v>457</v>
      </c>
      <c r="E179" s="334">
        <v>2.2000000000000002</v>
      </c>
      <c r="F179" s="334">
        <v>2.2000000000000002</v>
      </c>
      <c r="G179" s="334">
        <v>2.2000000000000002</v>
      </c>
      <c r="H179" s="328">
        <v>2.2000000000000002</v>
      </c>
      <c r="I179" s="416">
        <v>2015</v>
      </c>
      <c r="J179" s="325">
        <v>1</v>
      </c>
      <c r="K179" s="325">
        <v>1</v>
      </c>
      <c r="L179" s="301">
        <v>1</v>
      </c>
      <c r="M179" s="338">
        <v>0</v>
      </c>
      <c r="N179" s="299">
        <v>2.2000000000000002</v>
      </c>
      <c r="O179" s="299">
        <v>2.2000000000000002</v>
      </c>
      <c r="P179" s="299">
        <v>2.2000000000000002</v>
      </c>
      <c r="Q179" s="299">
        <v>2.2000000000000002</v>
      </c>
      <c r="R179" s="299">
        <v>2.2000000000000002</v>
      </c>
      <c r="S179" s="302"/>
      <c r="T179" s="447" t="s">
        <v>728</v>
      </c>
      <c r="U179" s="307"/>
    </row>
    <row r="180" spans="2:21">
      <c r="B180" s="307"/>
      <c r="C180" s="303" t="s">
        <v>609</v>
      </c>
      <c r="D180" s="302" t="s">
        <v>457</v>
      </c>
      <c r="E180" s="339">
        <v>61</v>
      </c>
      <c r="F180" s="339">
        <v>61.7</v>
      </c>
      <c r="G180" s="339">
        <v>65.8</v>
      </c>
      <c r="H180" s="328">
        <v>65.8</v>
      </c>
      <c r="I180" s="416">
        <v>2015</v>
      </c>
      <c r="J180" s="325">
        <v>1</v>
      </c>
      <c r="K180" s="325">
        <v>1</v>
      </c>
      <c r="L180" s="301">
        <v>1</v>
      </c>
      <c r="M180" s="300">
        <v>0</v>
      </c>
      <c r="N180" s="299">
        <v>61</v>
      </c>
      <c r="O180" s="299">
        <v>61.7</v>
      </c>
      <c r="P180" s="299">
        <v>65.8</v>
      </c>
      <c r="Q180" s="299">
        <v>65.8</v>
      </c>
      <c r="R180" s="299">
        <v>61</v>
      </c>
      <c r="S180" s="302" t="s">
        <v>610</v>
      </c>
      <c r="T180" s="447" t="s">
        <v>728</v>
      </c>
      <c r="U180" s="307"/>
    </row>
    <row r="181" spans="2:21">
      <c r="B181" s="307"/>
      <c r="C181" s="303" t="s">
        <v>611</v>
      </c>
      <c r="D181" s="302" t="s">
        <v>457</v>
      </c>
      <c r="E181" s="339">
        <v>49.8</v>
      </c>
      <c r="F181" s="339">
        <v>50.6</v>
      </c>
      <c r="G181" s="339">
        <v>54.7</v>
      </c>
      <c r="H181" s="328">
        <v>54.7</v>
      </c>
      <c r="I181" s="416">
        <v>2015</v>
      </c>
      <c r="J181" s="325">
        <v>1</v>
      </c>
      <c r="K181" s="325">
        <v>1</v>
      </c>
      <c r="L181" s="301">
        <v>1</v>
      </c>
      <c r="M181" s="300">
        <v>0</v>
      </c>
      <c r="N181" s="299">
        <v>49.8</v>
      </c>
      <c r="O181" s="299">
        <v>50.6</v>
      </c>
      <c r="P181" s="299">
        <v>54.7</v>
      </c>
      <c r="Q181" s="299">
        <v>54.7</v>
      </c>
      <c r="R181" s="299">
        <v>49.8</v>
      </c>
      <c r="S181" s="302" t="s">
        <v>610</v>
      </c>
      <c r="T181" s="447" t="s">
        <v>728</v>
      </c>
      <c r="U181" s="307"/>
    </row>
    <row r="182" spans="2:21">
      <c r="B182" s="307"/>
      <c r="C182" s="303" t="s">
        <v>612</v>
      </c>
      <c r="D182" s="302" t="s">
        <v>457</v>
      </c>
      <c r="E182" s="334">
        <v>7</v>
      </c>
      <c r="F182" s="334">
        <v>7</v>
      </c>
      <c r="G182" s="334">
        <v>7</v>
      </c>
      <c r="H182" s="328">
        <v>7</v>
      </c>
      <c r="I182" s="416">
        <v>2015</v>
      </c>
      <c r="J182" s="325">
        <v>1</v>
      </c>
      <c r="K182" s="325">
        <v>1</v>
      </c>
      <c r="L182" s="301">
        <v>1</v>
      </c>
      <c r="M182" s="338">
        <v>0</v>
      </c>
      <c r="N182" s="299">
        <v>7</v>
      </c>
      <c r="O182" s="299">
        <v>7</v>
      </c>
      <c r="P182" s="299">
        <v>7</v>
      </c>
      <c r="Q182" s="299">
        <v>7</v>
      </c>
      <c r="R182" s="299">
        <v>7</v>
      </c>
      <c r="S182" s="302"/>
      <c r="T182" s="447" t="s">
        <v>728</v>
      </c>
      <c r="U182" s="307"/>
    </row>
    <row r="183" spans="2:21">
      <c r="B183" s="307"/>
      <c r="C183" s="303" t="s">
        <v>613</v>
      </c>
      <c r="D183" s="302" t="s">
        <v>457</v>
      </c>
      <c r="E183" s="334">
        <v>30.2</v>
      </c>
      <c r="F183" s="334">
        <v>30.2</v>
      </c>
      <c r="G183" s="334">
        <v>30.2</v>
      </c>
      <c r="H183" s="328">
        <v>30.2</v>
      </c>
      <c r="I183" s="416">
        <v>2015</v>
      </c>
      <c r="J183" s="325">
        <v>1</v>
      </c>
      <c r="K183" s="325">
        <v>1</v>
      </c>
      <c r="L183" s="301">
        <v>1</v>
      </c>
      <c r="M183" s="338">
        <v>0</v>
      </c>
      <c r="N183" s="299">
        <v>30.2</v>
      </c>
      <c r="O183" s="299">
        <v>30.2</v>
      </c>
      <c r="P183" s="299">
        <v>30.2</v>
      </c>
      <c r="Q183" s="299">
        <v>30.2</v>
      </c>
      <c r="R183" s="299">
        <v>30.2</v>
      </c>
      <c r="S183" s="302"/>
      <c r="T183" s="447" t="s">
        <v>728</v>
      </c>
      <c r="U183" s="307"/>
    </row>
    <row r="184" spans="2:21">
      <c r="B184" s="307"/>
      <c r="C184" s="303" t="s">
        <v>72</v>
      </c>
      <c r="D184" s="302" t="s">
        <v>457</v>
      </c>
      <c r="E184" s="441">
        <v>143.69999999999999</v>
      </c>
      <c r="F184" s="441">
        <v>146.4</v>
      </c>
      <c r="G184" s="441">
        <v>156.80000000000001</v>
      </c>
      <c r="H184" s="441">
        <v>156.80000000000001</v>
      </c>
      <c r="I184" s="416">
        <v>2015</v>
      </c>
      <c r="J184" s="325">
        <v>1</v>
      </c>
      <c r="K184" s="325">
        <v>1</v>
      </c>
      <c r="L184" s="301">
        <v>1</v>
      </c>
      <c r="M184" s="300">
        <v>0</v>
      </c>
      <c r="N184" s="299">
        <v>143.69999999999999</v>
      </c>
      <c r="O184" s="299">
        <v>146.4</v>
      </c>
      <c r="P184" s="299">
        <v>156.80000000000001</v>
      </c>
      <c r="Q184" s="299">
        <v>156.80000000000001</v>
      </c>
      <c r="R184" s="299">
        <v>143.69999999999999</v>
      </c>
      <c r="S184" s="302" t="s">
        <v>614</v>
      </c>
      <c r="T184" s="447"/>
      <c r="U184" s="307"/>
    </row>
    <row r="185" spans="2:21">
      <c r="B185" s="307"/>
      <c r="C185" s="303" t="s">
        <v>615</v>
      </c>
      <c r="D185" s="302" t="s">
        <v>457</v>
      </c>
      <c r="E185" s="334">
        <v>67</v>
      </c>
      <c r="F185" s="334">
        <v>66.2</v>
      </c>
      <c r="G185" s="334">
        <v>73.3</v>
      </c>
      <c r="H185" s="328">
        <v>73.3</v>
      </c>
      <c r="I185" s="416">
        <v>2011</v>
      </c>
      <c r="J185" s="325">
        <v>1</v>
      </c>
      <c r="K185" s="325">
        <v>1.0640000000000001</v>
      </c>
      <c r="L185" s="301">
        <v>1.0640000000000001</v>
      </c>
      <c r="M185" s="300">
        <v>0</v>
      </c>
      <c r="N185" s="299">
        <v>71.3</v>
      </c>
      <c r="O185" s="299">
        <v>70.400000000000006</v>
      </c>
      <c r="P185" s="299">
        <v>78</v>
      </c>
      <c r="Q185" s="299">
        <v>78</v>
      </c>
      <c r="R185" s="299">
        <v>71.3</v>
      </c>
      <c r="S185" s="302" t="s">
        <v>616</v>
      </c>
      <c r="T185" s="447" t="s">
        <v>729</v>
      </c>
      <c r="U185" s="307"/>
    </row>
    <row r="186" spans="2:21">
      <c r="B186" s="307"/>
      <c r="C186" s="303" t="s">
        <v>479</v>
      </c>
      <c r="D186" s="302" t="s">
        <v>457</v>
      </c>
      <c r="E186" s="442">
        <v>69.7</v>
      </c>
      <c r="F186" s="442">
        <v>76.8</v>
      </c>
      <c r="G186" s="442">
        <v>77</v>
      </c>
      <c r="H186" s="442">
        <v>77</v>
      </c>
      <c r="I186" s="416">
        <v>2013</v>
      </c>
      <c r="J186" s="325">
        <v>1</v>
      </c>
      <c r="K186" s="325">
        <v>1.038</v>
      </c>
      <c r="L186" s="301">
        <v>1.038</v>
      </c>
      <c r="M186" s="300">
        <v>0</v>
      </c>
      <c r="N186" s="299">
        <v>72.400000000000006</v>
      </c>
      <c r="O186" s="299">
        <v>79.7</v>
      </c>
      <c r="P186" s="299">
        <v>79.900000000000006</v>
      </c>
      <c r="Q186" s="299">
        <v>79.900000000000006</v>
      </c>
      <c r="R186" s="299">
        <v>72.400000000000006</v>
      </c>
      <c r="S186" s="295" t="s">
        <v>617</v>
      </c>
      <c r="T186" s="447" t="s">
        <v>730</v>
      </c>
      <c r="U186" s="307"/>
    </row>
    <row r="187" spans="2:21">
      <c r="B187" s="307"/>
      <c r="C187" s="303" t="s">
        <v>480</v>
      </c>
      <c r="D187" s="302" t="s">
        <v>457</v>
      </c>
      <c r="E187" s="443">
        <v>10.3</v>
      </c>
      <c r="F187" s="443">
        <v>10.3</v>
      </c>
      <c r="G187" s="443">
        <v>10.3</v>
      </c>
      <c r="H187" s="443">
        <v>10.3</v>
      </c>
      <c r="I187" s="416">
        <v>2014</v>
      </c>
      <c r="J187" s="325">
        <v>1</v>
      </c>
      <c r="K187" s="325">
        <v>1.0249999999999999</v>
      </c>
      <c r="L187" s="301">
        <v>1.0249999999999999</v>
      </c>
      <c r="M187" s="300">
        <v>0</v>
      </c>
      <c r="N187" s="299">
        <v>10.6</v>
      </c>
      <c r="O187" s="299">
        <v>10.6</v>
      </c>
      <c r="P187" s="299">
        <v>10.6</v>
      </c>
      <c r="Q187" s="299">
        <v>10.6</v>
      </c>
      <c r="R187" s="299">
        <v>10.6</v>
      </c>
      <c r="S187" s="295"/>
      <c r="T187" s="447" t="s">
        <v>618</v>
      </c>
      <c r="U187" s="307"/>
    </row>
    <row r="188" spans="2:21">
      <c r="B188" s="307"/>
      <c r="C188" s="303" t="s">
        <v>481</v>
      </c>
      <c r="D188" s="302" t="s">
        <v>457</v>
      </c>
      <c r="E188" s="328">
        <v>38.6</v>
      </c>
      <c r="F188" s="328">
        <v>41.2</v>
      </c>
      <c r="G188" s="328">
        <v>46.9</v>
      </c>
      <c r="H188" s="328">
        <v>51.9</v>
      </c>
      <c r="I188" s="416">
        <v>2012</v>
      </c>
      <c r="J188" s="325">
        <v>1</v>
      </c>
      <c r="K188" s="325">
        <v>1.0589999999999999</v>
      </c>
      <c r="L188" s="301">
        <v>1.0589999999999999</v>
      </c>
      <c r="M188" s="300"/>
      <c r="N188" s="299">
        <v>40.9</v>
      </c>
      <c r="O188" s="299">
        <v>43.6</v>
      </c>
      <c r="P188" s="299">
        <v>49.6</v>
      </c>
      <c r="Q188" s="299">
        <v>55</v>
      </c>
      <c r="R188" s="299">
        <v>40.9</v>
      </c>
      <c r="S188" s="295"/>
      <c r="T188" s="447" t="s">
        <v>731</v>
      </c>
      <c r="U188" s="307"/>
    </row>
    <row r="189" spans="2:21">
      <c r="B189" s="307"/>
      <c r="C189" s="303" t="s">
        <v>482</v>
      </c>
      <c r="D189" s="302" t="s">
        <v>457</v>
      </c>
      <c r="E189" s="444">
        <v>101.7</v>
      </c>
      <c r="F189" s="444">
        <v>112.5</v>
      </c>
      <c r="G189" s="444">
        <v>118.1</v>
      </c>
      <c r="H189" s="444">
        <v>118.1</v>
      </c>
      <c r="I189" s="416">
        <v>2015</v>
      </c>
      <c r="J189" s="325">
        <v>1</v>
      </c>
      <c r="K189" s="325">
        <v>1</v>
      </c>
      <c r="L189" s="301">
        <v>1</v>
      </c>
      <c r="M189" s="300"/>
      <c r="N189" s="299">
        <v>101.7</v>
      </c>
      <c r="O189" s="299">
        <v>112.5</v>
      </c>
      <c r="P189" s="299">
        <v>118.1</v>
      </c>
      <c r="Q189" s="299">
        <v>118.1</v>
      </c>
      <c r="R189" s="299">
        <v>101.7</v>
      </c>
      <c r="S189" s="295" t="s">
        <v>619</v>
      </c>
      <c r="T189" s="447" t="s">
        <v>730</v>
      </c>
      <c r="U189" s="307"/>
    </row>
    <row r="190" spans="2:21">
      <c r="B190" s="307"/>
      <c r="C190" s="303" t="s">
        <v>504</v>
      </c>
      <c r="D190" s="302" t="s">
        <v>457</v>
      </c>
      <c r="E190" s="444">
        <v>91.8</v>
      </c>
      <c r="F190" s="444">
        <v>102.2</v>
      </c>
      <c r="G190" s="444">
        <v>114.4</v>
      </c>
      <c r="H190" s="444">
        <v>114.4</v>
      </c>
      <c r="I190" s="416">
        <v>2015</v>
      </c>
      <c r="J190" s="325">
        <v>1</v>
      </c>
      <c r="K190" s="325">
        <v>1</v>
      </c>
      <c r="L190" s="301">
        <v>1</v>
      </c>
      <c r="M190" s="300"/>
      <c r="N190" s="299">
        <v>91.8</v>
      </c>
      <c r="O190" s="299">
        <v>102.2</v>
      </c>
      <c r="P190" s="299">
        <v>114.4</v>
      </c>
      <c r="Q190" s="299">
        <v>114.4</v>
      </c>
      <c r="R190" s="299">
        <v>91.8</v>
      </c>
      <c r="S190" s="295"/>
      <c r="T190" s="447"/>
      <c r="U190" s="307"/>
    </row>
    <row r="191" spans="2:21" s="490" customFormat="1">
      <c r="B191" s="307"/>
      <c r="C191" s="303" t="s">
        <v>719</v>
      </c>
      <c r="D191" s="302" t="s">
        <v>457</v>
      </c>
      <c r="E191" s="557">
        <v>148.80000000000001</v>
      </c>
      <c r="F191" s="557">
        <v>176.4</v>
      </c>
      <c r="G191" s="557">
        <v>187.5</v>
      </c>
      <c r="H191" s="557">
        <v>187.5</v>
      </c>
      <c r="I191" s="551">
        <v>2015</v>
      </c>
      <c r="J191" s="534">
        <v>1</v>
      </c>
      <c r="K191" s="534">
        <v>1</v>
      </c>
      <c r="L191" s="301">
        <v>1</v>
      </c>
      <c r="M191" s="300">
        <v>0</v>
      </c>
      <c r="N191" s="299">
        <v>148.80000000000001</v>
      </c>
      <c r="O191" s="299">
        <v>176.4</v>
      </c>
      <c r="P191" s="299">
        <v>187.5</v>
      </c>
      <c r="Q191" s="299">
        <v>187.5</v>
      </c>
      <c r="R191" s="299">
        <v>148.80000000000001</v>
      </c>
      <c r="S191" s="295"/>
      <c r="T191" s="558" t="s">
        <v>732</v>
      </c>
      <c r="U191" s="307"/>
    </row>
    <row r="192" spans="2:21">
      <c r="B192" s="307"/>
      <c r="C192" s="303" t="s">
        <v>484</v>
      </c>
      <c r="D192" s="302" t="s">
        <v>457</v>
      </c>
      <c r="E192" s="328">
        <v>45.4</v>
      </c>
      <c r="F192" s="328">
        <v>48.4</v>
      </c>
      <c r="G192" s="328">
        <v>55.1</v>
      </c>
      <c r="H192" s="328">
        <v>61.1</v>
      </c>
      <c r="I192" s="416">
        <v>2012</v>
      </c>
      <c r="J192" s="325">
        <v>1</v>
      </c>
      <c r="K192" s="325">
        <v>1.0589999999999999</v>
      </c>
      <c r="L192" s="301">
        <v>1.0589999999999999</v>
      </c>
      <c r="M192" s="300"/>
      <c r="N192" s="299">
        <v>48.1</v>
      </c>
      <c r="O192" s="299">
        <v>51.3</v>
      </c>
      <c r="P192" s="299">
        <v>58.4</v>
      </c>
      <c r="Q192" s="299">
        <v>64.7</v>
      </c>
      <c r="R192" s="299">
        <v>48.1</v>
      </c>
      <c r="S192" s="295" t="s">
        <v>620</v>
      </c>
      <c r="T192" s="447" t="s">
        <v>731</v>
      </c>
      <c r="U192" s="307"/>
    </row>
    <row r="193" spans="2:21">
      <c r="B193" s="307"/>
      <c r="C193" s="303" t="s">
        <v>485</v>
      </c>
      <c r="D193" s="302" t="s">
        <v>457</v>
      </c>
      <c r="E193" s="445">
        <v>61.8</v>
      </c>
      <c r="F193" s="445">
        <v>63.3</v>
      </c>
      <c r="G193" s="445">
        <v>67.8</v>
      </c>
      <c r="H193" s="445">
        <v>71.5</v>
      </c>
      <c r="I193" s="416">
        <v>2012</v>
      </c>
      <c r="J193" s="325">
        <v>1</v>
      </c>
      <c r="K193" s="325">
        <v>1.0589999999999999</v>
      </c>
      <c r="L193" s="301">
        <v>1.0589999999999999</v>
      </c>
      <c r="M193" s="300"/>
      <c r="N193" s="299">
        <v>65.5</v>
      </c>
      <c r="O193" s="299">
        <v>67.099999999999994</v>
      </c>
      <c r="P193" s="299">
        <v>71.8</v>
      </c>
      <c r="Q193" s="299">
        <v>75.7</v>
      </c>
      <c r="R193" s="299">
        <v>65.5</v>
      </c>
      <c r="S193" s="295" t="s">
        <v>620</v>
      </c>
      <c r="T193" s="447" t="s">
        <v>731</v>
      </c>
      <c r="U193" s="307"/>
    </row>
    <row r="194" spans="2:21">
      <c r="B194" s="307"/>
      <c r="C194" s="303" t="s">
        <v>486</v>
      </c>
      <c r="D194" s="302" t="s">
        <v>457</v>
      </c>
      <c r="E194" s="373">
        <v>72.5</v>
      </c>
      <c r="F194" s="373">
        <v>91.24</v>
      </c>
      <c r="G194" s="373">
        <v>157.88999999999999</v>
      </c>
      <c r="H194" s="373">
        <v>157.88999999999999</v>
      </c>
      <c r="I194" s="416">
        <v>2015</v>
      </c>
      <c r="J194" s="325">
        <v>1</v>
      </c>
      <c r="K194" s="325">
        <v>1</v>
      </c>
      <c r="L194" s="301">
        <v>1</v>
      </c>
      <c r="M194" s="300"/>
      <c r="N194" s="299">
        <v>72.5</v>
      </c>
      <c r="O194" s="299">
        <v>91.2</v>
      </c>
      <c r="P194" s="299">
        <v>157.9</v>
      </c>
      <c r="Q194" s="299">
        <v>157.9</v>
      </c>
      <c r="R194" s="299">
        <v>72.5</v>
      </c>
      <c r="S194" s="295"/>
      <c r="T194" s="447" t="s">
        <v>729</v>
      </c>
      <c r="U194" s="307"/>
    </row>
    <row r="195" spans="2:21">
      <c r="B195" s="307"/>
      <c r="C195" s="303" t="s">
        <v>487</v>
      </c>
      <c r="D195" s="302" t="s">
        <v>457</v>
      </c>
      <c r="E195" s="373">
        <v>72.5</v>
      </c>
      <c r="F195" s="373">
        <v>91.24</v>
      </c>
      <c r="G195" s="373">
        <v>157.88999999999999</v>
      </c>
      <c r="H195" s="373">
        <v>157.88999999999999</v>
      </c>
      <c r="I195" s="416">
        <v>2015</v>
      </c>
      <c r="J195" s="325">
        <v>1</v>
      </c>
      <c r="K195" s="325">
        <v>1</v>
      </c>
      <c r="L195" s="301">
        <v>1</v>
      </c>
      <c r="M195" s="300"/>
      <c r="N195" s="299">
        <v>72.5</v>
      </c>
      <c r="O195" s="299">
        <v>91.2</v>
      </c>
      <c r="P195" s="299">
        <v>157.9</v>
      </c>
      <c r="Q195" s="299">
        <v>157.9</v>
      </c>
      <c r="R195" s="299">
        <v>72.5</v>
      </c>
      <c r="S195" s="295" t="s">
        <v>621</v>
      </c>
      <c r="T195" s="447" t="s">
        <v>729</v>
      </c>
      <c r="U195" s="307"/>
    </row>
    <row r="196" spans="2:21">
      <c r="B196" s="307"/>
      <c r="C196" s="303" t="s">
        <v>490</v>
      </c>
      <c r="D196" s="302" t="s">
        <v>457</v>
      </c>
      <c r="E196" s="446">
        <v>44.31</v>
      </c>
      <c r="F196" s="446">
        <v>44.31</v>
      </c>
      <c r="G196" s="446">
        <v>44.31</v>
      </c>
      <c r="H196" s="446">
        <v>44.31</v>
      </c>
      <c r="I196" s="416">
        <v>2011</v>
      </c>
      <c r="J196" s="325">
        <v>1</v>
      </c>
      <c r="K196" s="325">
        <v>1.0640000000000001</v>
      </c>
      <c r="L196" s="301">
        <v>1.0640000000000001</v>
      </c>
      <c r="M196" s="300"/>
      <c r="N196" s="299">
        <v>47.2</v>
      </c>
      <c r="O196" s="299">
        <v>47.2</v>
      </c>
      <c r="P196" s="299">
        <v>47.2</v>
      </c>
      <c r="Q196" s="299">
        <v>47.2</v>
      </c>
      <c r="R196" s="299">
        <v>47.2</v>
      </c>
      <c r="S196" s="295"/>
      <c r="T196" s="448" t="s">
        <v>733</v>
      </c>
      <c r="U196" s="307"/>
    </row>
    <row r="197" spans="2:21">
      <c r="B197" s="307"/>
      <c r="C197" s="303" t="s">
        <v>491</v>
      </c>
      <c r="D197" s="302" t="s">
        <v>457</v>
      </c>
      <c r="E197" s="443">
        <v>187</v>
      </c>
      <c r="F197" s="443">
        <v>186.2</v>
      </c>
      <c r="G197" s="443">
        <v>205</v>
      </c>
      <c r="H197" s="443">
        <v>205</v>
      </c>
      <c r="I197" s="416">
        <v>2010</v>
      </c>
      <c r="J197" s="325">
        <v>1</v>
      </c>
      <c r="K197" s="325">
        <v>1.1100000000000001</v>
      </c>
      <c r="L197" s="301">
        <v>1.1100000000000001</v>
      </c>
      <c r="M197" s="300"/>
      <c r="N197" s="299">
        <v>207.6</v>
      </c>
      <c r="O197" s="299">
        <v>206.6</v>
      </c>
      <c r="P197" s="299">
        <v>227.6</v>
      </c>
      <c r="Q197" s="299">
        <v>227.6</v>
      </c>
      <c r="R197" s="299">
        <v>207.6</v>
      </c>
      <c r="S197" s="295" t="s">
        <v>622</v>
      </c>
      <c r="T197" s="449" t="s">
        <v>734</v>
      </c>
      <c r="U197" s="307"/>
    </row>
    <row r="198" spans="2:21">
      <c r="B198" s="307"/>
      <c r="C198" s="303" t="s">
        <v>492</v>
      </c>
      <c r="D198" s="302" t="s">
        <v>457</v>
      </c>
      <c r="E198" s="443">
        <v>146.80000000000001</v>
      </c>
      <c r="F198" s="443">
        <v>146.1</v>
      </c>
      <c r="G198" s="443">
        <v>160.9</v>
      </c>
      <c r="H198" s="443">
        <v>160.9</v>
      </c>
      <c r="I198" s="416">
        <v>2010</v>
      </c>
      <c r="J198" s="325">
        <v>1</v>
      </c>
      <c r="K198" s="325">
        <v>1.1100000000000001</v>
      </c>
      <c r="L198" s="301">
        <v>1.1100000000000001</v>
      </c>
      <c r="M198" s="300"/>
      <c r="N198" s="299">
        <v>162.9</v>
      </c>
      <c r="O198" s="299">
        <v>162.19999999999999</v>
      </c>
      <c r="P198" s="299">
        <v>178.6</v>
      </c>
      <c r="Q198" s="299">
        <v>178.6</v>
      </c>
      <c r="R198" s="299">
        <v>162.9</v>
      </c>
      <c r="S198" s="295" t="s">
        <v>622</v>
      </c>
      <c r="T198" s="449" t="s">
        <v>734</v>
      </c>
      <c r="U198" s="307"/>
    </row>
    <row r="199" spans="2:21">
      <c r="B199" s="307"/>
      <c r="C199" s="303" t="s">
        <v>442</v>
      </c>
      <c r="D199" s="302" t="s">
        <v>457</v>
      </c>
      <c r="E199" s="444">
        <v>80</v>
      </c>
      <c r="F199" s="444">
        <v>94.8</v>
      </c>
      <c r="G199" s="444">
        <v>100.8</v>
      </c>
      <c r="H199" s="444">
        <v>100.8</v>
      </c>
      <c r="I199" s="416">
        <v>2013</v>
      </c>
      <c r="J199" s="325">
        <v>1</v>
      </c>
      <c r="K199" s="325">
        <v>1.038</v>
      </c>
      <c r="L199" s="301">
        <v>1.038</v>
      </c>
      <c r="M199" s="300"/>
      <c r="N199" s="299">
        <v>83.1</v>
      </c>
      <c r="O199" s="299">
        <v>98.5</v>
      </c>
      <c r="P199" s="299">
        <v>104.7</v>
      </c>
      <c r="Q199" s="299">
        <v>104.7</v>
      </c>
      <c r="R199" s="299">
        <v>83.1</v>
      </c>
      <c r="S199" s="302"/>
      <c r="T199" s="294"/>
      <c r="U199" s="307"/>
    </row>
    <row r="200" spans="2:21">
      <c r="B200" s="307"/>
      <c r="C200" s="303" t="s">
        <v>623</v>
      </c>
      <c r="D200" s="302" t="s">
        <v>624</v>
      </c>
      <c r="E200" s="443">
        <v>0</v>
      </c>
      <c r="F200" s="443">
        <v>0</v>
      </c>
      <c r="G200" s="443">
        <v>0</v>
      </c>
      <c r="H200" s="443">
        <v>0</v>
      </c>
      <c r="I200" s="416">
        <v>2010</v>
      </c>
      <c r="J200" s="325">
        <v>1</v>
      </c>
      <c r="K200" s="325">
        <v>1.1100000000000001</v>
      </c>
      <c r="L200" s="301">
        <v>1.1100000000000001</v>
      </c>
      <c r="M200" s="300"/>
      <c r="N200" s="299">
        <v>0.1</v>
      </c>
      <c r="O200" s="299">
        <v>0.1</v>
      </c>
      <c r="P200" s="299">
        <v>0.1</v>
      </c>
      <c r="Q200" s="299">
        <v>0.1</v>
      </c>
      <c r="R200" s="301">
        <v>5.2999999999999999E-2</v>
      </c>
      <c r="S200" s="302"/>
      <c r="T200" s="449" t="s">
        <v>634</v>
      </c>
      <c r="U200" s="307"/>
    </row>
    <row r="201" spans="2:21">
      <c r="B201" s="307"/>
      <c r="C201" s="303" t="s">
        <v>625</v>
      </c>
      <c r="D201" s="302" t="s">
        <v>624</v>
      </c>
      <c r="E201" s="443">
        <v>0</v>
      </c>
      <c r="F201" s="443">
        <v>0</v>
      </c>
      <c r="G201" s="443">
        <v>0</v>
      </c>
      <c r="H201" s="443">
        <v>0</v>
      </c>
      <c r="I201" s="416">
        <v>2010</v>
      </c>
      <c r="J201" s="325">
        <v>1</v>
      </c>
      <c r="K201" s="325">
        <v>1.1100000000000001</v>
      </c>
      <c r="L201" s="301">
        <v>1.1100000000000001</v>
      </c>
      <c r="M201" s="300"/>
      <c r="N201" s="299">
        <v>0.1</v>
      </c>
      <c r="O201" s="299">
        <v>0.1</v>
      </c>
      <c r="P201" s="299">
        <v>0.1</v>
      </c>
      <c r="Q201" s="299">
        <v>0.1</v>
      </c>
      <c r="R201" s="301">
        <v>5.2999999999999999E-2</v>
      </c>
      <c r="S201" s="302"/>
      <c r="T201" s="449" t="s">
        <v>634</v>
      </c>
      <c r="U201" s="307"/>
    </row>
    <row r="202" spans="2:21">
      <c r="B202" s="307"/>
      <c r="C202" s="303" t="s">
        <v>626</v>
      </c>
      <c r="D202" s="302" t="s">
        <v>624</v>
      </c>
      <c r="E202" s="443">
        <v>0</v>
      </c>
      <c r="F202" s="443">
        <v>0</v>
      </c>
      <c r="G202" s="443">
        <v>0</v>
      </c>
      <c r="H202" s="443">
        <v>0</v>
      </c>
      <c r="I202" s="416">
        <v>2010</v>
      </c>
      <c r="J202" s="325">
        <v>1</v>
      </c>
      <c r="K202" s="325">
        <v>1.1100000000000001</v>
      </c>
      <c r="L202" s="301">
        <v>1.1100000000000001</v>
      </c>
      <c r="M202" s="300"/>
      <c r="N202" s="299">
        <v>0</v>
      </c>
      <c r="O202" s="299">
        <v>0</v>
      </c>
      <c r="P202" s="299">
        <v>0</v>
      </c>
      <c r="Q202" s="299">
        <v>0</v>
      </c>
      <c r="R202" s="301">
        <v>0.02</v>
      </c>
      <c r="S202" s="302"/>
      <c r="T202" s="449" t="s">
        <v>634</v>
      </c>
      <c r="U202" s="307"/>
    </row>
    <row r="203" spans="2:21">
      <c r="B203" s="307"/>
      <c r="C203" s="303" t="s">
        <v>627</v>
      </c>
      <c r="D203" s="302" t="s">
        <v>624</v>
      </c>
      <c r="E203" s="443">
        <v>0.1</v>
      </c>
      <c r="F203" s="443">
        <v>0.1</v>
      </c>
      <c r="G203" s="443">
        <v>0.1</v>
      </c>
      <c r="H203" s="443">
        <v>0.1</v>
      </c>
      <c r="I203" s="416">
        <v>2010</v>
      </c>
      <c r="J203" s="325">
        <v>1</v>
      </c>
      <c r="K203" s="325">
        <v>1.1100000000000001</v>
      </c>
      <c r="L203" s="301">
        <v>1.1100000000000001</v>
      </c>
      <c r="M203" s="300"/>
      <c r="N203" s="299">
        <v>0.1</v>
      </c>
      <c r="O203" s="299">
        <v>0.1</v>
      </c>
      <c r="P203" s="299">
        <v>0.1</v>
      </c>
      <c r="Q203" s="299">
        <v>0.1</v>
      </c>
      <c r="R203" s="301">
        <v>0.108</v>
      </c>
      <c r="S203" s="302"/>
      <c r="T203" s="449" t="s">
        <v>634</v>
      </c>
      <c r="U203" s="307"/>
    </row>
    <row r="204" spans="2:21">
      <c r="B204" s="307"/>
      <c r="C204" s="303" t="s">
        <v>628</v>
      </c>
      <c r="D204" s="302" t="s">
        <v>624</v>
      </c>
      <c r="E204" s="443">
        <v>0</v>
      </c>
      <c r="F204" s="443">
        <v>0</v>
      </c>
      <c r="G204" s="443">
        <v>0</v>
      </c>
      <c r="H204" s="443">
        <v>0</v>
      </c>
      <c r="I204" s="416">
        <v>2010</v>
      </c>
      <c r="J204" s="325">
        <v>1</v>
      </c>
      <c r="K204" s="325">
        <v>1.1100000000000001</v>
      </c>
      <c r="L204" s="301">
        <v>1.1100000000000001</v>
      </c>
      <c r="M204" s="300"/>
      <c r="N204" s="299">
        <v>0</v>
      </c>
      <c r="O204" s="299">
        <v>0</v>
      </c>
      <c r="P204" s="299">
        <v>0</v>
      </c>
      <c r="Q204" s="299">
        <v>0</v>
      </c>
      <c r="R204" s="301">
        <v>0</v>
      </c>
      <c r="S204" s="302"/>
      <c r="T204" s="449" t="s">
        <v>634</v>
      </c>
      <c r="U204" s="307"/>
    </row>
    <row r="205" spans="2:21">
      <c r="B205" s="307"/>
      <c r="C205" s="303" t="s">
        <v>629</v>
      </c>
      <c r="D205" s="302" t="s">
        <v>624</v>
      </c>
      <c r="E205" s="443">
        <v>0</v>
      </c>
      <c r="F205" s="443">
        <v>0</v>
      </c>
      <c r="G205" s="443">
        <v>0</v>
      </c>
      <c r="H205" s="443">
        <v>0</v>
      </c>
      <c r="I205" s="416">
        <v>2010</v>
      </c>
      <c r="J205" s="325">
        <v>1</v>
      </c>
      <c r="K205" s="325">
        <v>1.1100000000000001</v>
      </c>
      <c r="L205" s="301">
        <v>1.1100000000000001</v>
      </c>
      <c r="M205" s="300"/>
      <c r="N205" s="299">
        <v>0</v>
      </c>
      <c r="O205" s="299">
        <v>0</v>
      </c>
      <c r="P205" s="299">
        <v>0</v>
      </c>
      <c r="Q205" s="299">
        <v>0</v>
      </c>
      <c r="R205" s="301">
        <v>0</v>
      </c>
      <c r="S205" s="302"/>
      <c r="T205" s="449" t="s">
        <v>634</v>
      </c>
      <c r="U205" s="307"/>
    </row>
    <row r="206" spans="2:21">
      <c r="B206" s="307"/>
      <c r="C206" s="303" t="s">
        <v>630</v>
      </c>
      <c r="D206" s="302" t="s">
        <v>624</v>
      </c>
      <c r="E206" s="443">
        <v>0</v>
      </c>
      <c r="F206" s="443">
        <v>0</v>
      </c>
      <c r="G206" s="443">
        <v>0</v>
      </c>
      <c r="H206" s="443">
        <v>0</v>
      </c>
      <c r="I206" s="416">
        <v>2010</v>
      </c>
      <c r="J206" s="325">
        <v>1</v>
      </c>
      <c r="K206" s="325">
        <v>1.1100000000000001</v>
      </c>
      <c r="L206" s="301">
        <v>1.1100000000000001</v>
      </c>
      <c r="M206" s="300"/>
      <c r="N206" s="299">
        <v>0</v>
      </c>
      <c r="O206" s="299">
        <v>0</v>
      </c>
      <c r="P206" s="299">
        <v>0</v>
      </c>
      <c r="Q206" s="299">
        <v>0</v>
      </c>
      <c r="R206" s="301">
        <v>0</v>
      </c>
      <c r="S206" s="302"/>
      <c r="T206" s="449" t="s">
        <v>634</v>
      </c>
      <c r="U206" s="307"/>
    </row>
    <row r="207" spans="2:21">
      <c r="B207" s="307"/>
      <c r="C207" s="303" t="s">
        <v>631</v>
      </c>
      <c r="D207" s="302" t="s">
        <v>624</v>
      </c>
      <c r="E207" s="443">
        <v>0</v>
      </c>
      <c r="F207" s="443">
        <v>0</v>
      </c>
      <c r="G207" s="443">
        <v>0</v>
      </c>
      <c r="H207" s="443">
        <v>0</v>
      </c>
      <c r="I207" s="416">
        <v>2010</v>
      </c>
      <c r="J207" s="325">
        <v>1</v>
      </c>
      <c r="K207" s="325">
        <v>1.1100000000000001</v>
      </c>
      <c r="L207" s="301">
        <v>1.1100000000000001</v>
      </c>
      <c r="M207" s="300"/>
      <c r="N207" s="299">
        <v>0</v>
      </c>
      <c r="O207" s="299">
        <v>0</v>
      </c>
      <c r="P207" s="299">
        <v>0</v>
      </c>
      <c r="Q207" s="299">
        <v>0</v>
      </c>
      <c r="R207" s="301">
        <v>0</v>
      </c>
      <c r="S207" s="302"/>
      <c r="T207" s="449" t="s">
        <v>634</v>
      </c>
      <c r="U207" s="307"/>
    </row>
    <row r="208" spans="2:21">
      <c r="B208" s="307"/>
      <c r="C208" s="303" t="s">
        <v>735</v>
      </c>
      <c r="D208" s="302" t="s">
        <v>457</v>
      </c>
      <c r="E208" s="334">
        <v>467.1</v>
      </c>
      <c r="F208" s="334">
        <v>287.89999999999998</v>
      </c>
      <c r="G208" s="334">
        <v>355.4</v>
      </c>
      <c r="H208" s="328">
        <v>357.4</v>
      </c>
      <c r="I208" s="293">
        <v>2015</v>
      </c>
      <c r="J208" s="325">
        <v>1</v>
      </c>
      <c r="K208" s="325">
        <v>1</v>
      </c>
      <c r="L208" s="301">
        <v>1</v>
      </c>
      <c r="M208" s="300"/>
      <c r="N208" s="299">
        <v>467.1</v>
      </c>
      <c r="O208" s="299">
        <v>287.89999999999998</v>
      </c>
      <c r="P208" s="299">
        <v>355.4</v>
      </c>
      <c r="Q208" s="299">
        <v>357.4</v>
      </c>
      <c r="R208" s="299">
        <v>467.1</v>
      </c>
      <c r="S208" s="302"/>
      <c r="T208" s="294" t="s">
        <v>736</v>
      </c>
      <c r="U208" s="307"/>
    </row>
    <row r="209" spans="2:21">
      <c r="B209" s="307"/>
      <c r="C209" s="303"/>
      <c r="D209" s="302"/>
      <c r="E209" s="334"/>
      <c r="F209" s="334"/>
      <c r="G209" s="334"/>
      <c r="H209" s="328"/>
      <c r="I209" s="293"/>
      <c r="J209" s="325"/>
      <c r="K209" s="325"/>
      <c r="L209" s="301"/>
      <c r="M209" s="300"/>
      <c r="N209" s="299"/>
      <c r="O209" s="299"/>
      <c r="P209" s="299"/>
      <c r="Q209" s="299"/>
      <c r="R209" s="299"/>
      <c r="S209" s="302"/>
      <c r="T209" s="294"/>
      <c r="U209" s="307"/>
    </row>
    <row r="210" spans="2:21">
      <c r="B210" s="307"/>
      <c r="C210" s="303"/>
      <c r="D210" s="302"/>
      <c r="E210" s="334"/>
      <c r="F210" s="334"/>
      <c r="G210" s="334"/>
      <c r="H210" s="328"/>
      <c r="I210" s="293"/>
      <c r="J210" s="325"/>
      <c r="K210" s="325"/>
      <c r="L210" s="301"/>
      <c r="M210" s="300"/>
      <c r="N210" s="299"/>
      <c r="O210" s="299"/>
      <c r="P210" s="299"/>
      <c r="Q210" s="299"/>
      <c r="R210" s="299"/>
      <c r="S210" s="302"/>
      <c r="T210" s="294"/>
      <c r="U210" s="307"/>
    </row>
    <row r="211" spans="2:21">
      <c r="B211" s="307"/>
      <c r="C211" s="303"/>
      <c r="D211" s="302"/>
      <c r="E211" s="334"/>
      <c r="F211" s="334"/>
      <c r="G211" s="334"/>
      <c r="H211" s="328"/>
      <c r="I211" s="293"/>
      <c r="J211" s="325"/>
      <c r="K211" s="325"/>
      <c r="L211" s="301"/>
      <c r="M211" s="300"/>
      <c r="N211" s="299"/>
      <c r="O211" s="299"/>
      <c r="P211" s="299"/>
      <c r="Q211" s="299"/>
      <c r="R211" s="299"/>
      <c r="S211" s="302"/>
      <c r="T211" s="294"/>
      <c r="U211" s="307"/>
    </row>
    <row r="212" spans="2:21">
      <c r="B212" s="307"/>
      <c r="C212" s="303"/>
      <c r="D212" s="302"/>
      <c r="E212" s="334"/>
      <c r="F212" s="334"/>
      <c r="G212" s="334"/>
      <c r="H212" s="328"/>
      <c r="I212" s="293"/>
      <c r="J212" s="325"/>
      <c r="K212" s="325"/>
      <c r="L212" s="301"/>
      <c r="M212" s="300"/>
      <c r="N212" s="299"/>
      <c r="O212" s="299"/>
      <c r="P212" s="299"/>
      <c r="Q212" s="299"/>
      <c r="R212" s="299"/>
      <c r="S212" s="302"/>
      <c r="T212" s="294"/>
      <c r="U212" s="307"/>
    </row>
    <row r="213" spans="2:21" ht="13.5" thickBot="1">
      <c r="B213" s="307"/>
      <c r="C213" s="292"/>
      <c r="D213" s="291"/>
      <c r="E213" s="336"/>
      <c r="F213" s="336"/>
      <c r="G213" s="336"/>
      <c r="H213" s="337"/>
      <c r="I213" s="290"/>
      <c r="J213" s="326"/>
      <c r="K213" s="326"/>
      <c r="L213" s="289"/>
      <c r="M213" s="288"/>
      <c r="N213" s="287"/>
      <c r="O213" s="287"/>
      <c r="P213" s="287"/>
      <c r="Q213" s="287"/>
      <c r="R213" s="287"/>
      <c r="S213" s="291"/>
      <c r="T213" s="286"/>
      <c r="U213" s="307"/>
    </row>
    <row r="214" spans="2:21" ht="13.5" thickBot="1">
      <c r="B214" s="307"/>
      <c r="C214" s="285" t="s">
        <v>632</v>
      </c>
      <c r="D214" s="284"/>
      <c r="E214" s="284">
        <v>1</v>
      </c>
      <c r="F214" s="284"/>
      <c r="G214" s="284"/>
      <c r="H214" s="284"/>
      <c r="I214" s="284">
        <v>2005</v>
      </c>
      <c r="J214" s="327">
        <v>1</v>
      </c>
      <c r="K214" s="327">
        <v>1.2689999999999999</v>
      </c>
      <c r="L214" s="283">
        <v>0.78800000000000003</v>
      </c>
      <c r="M214" s="283"/>
      <c r="N214" s="284"/>
      <c r="O214" s="284"/>
      <c r="P214" s="284"/>
      <c r="Q214" s="284"/>
      <c r="R214" s="284"/>
      <c r="S214" s="286"/>
      <c r="T214" s="307"/>
      <c r="U214" s="307"/>
    </row>
    <row r="215" spans="2:21">
      <c r="B215" s="307"/>
      <c r="C215" s="559" t="s">
        <v>633</v>
      </c>
      <c r="D215" s="307"/>
      <c r="E215" s="307"/>
      <c r="F215" s="307"/>
      <c r="G215" s="307"/>
      <c r="H215" s="307"/>
      <c r="I215" s="307"/>
      <c r="J215" s="307"/>
      <c r="K215" s="307"/>
      <c r="L215" s="307"/>
      <c r="M215" s="307"/>
      <c r="N215" s="307"/>
      <c r="O215" s="307"/>
      <c r="P215" s="307"/>
      <c r="Q215" s="307"/>
      <c r="R215" s="307"/>
      <c r="S215" s="307"/>
      <c r="T215" s="307"/>
      <c r="U215" s="307"/>
    </row>
    <row r="216" spans="2:21">
      <c r="B216" s="307"/>
      <c r="C216" s="560" t="s">
        <v>737</v>
      </c>
      <c r="D216" s="307"/>
      <c r="E216" s="307"/>
      <c r="F216" s="307"/>
      <c r="G216" s="307"/>
      <c r="H216" s="307"/>
      <c r="I216" s="307"/>
      <c r="J216" s="307"/>
      <c r="K216" s="307"/>
      <c r="L216" s="307"/>
      <c r="M216" s="307"/>
      <c r="N216" s="307"/>
      <c r="O216" s="307"/>
      <c r="P216" s="307"/>
      <c r="Q216" s="307"/>
      <c r="R216" s="307"/>
      <c r="S216" s="307"/>
      <c r="T216" s="307"/>
      <c r="U216" s="30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E16" sqref="E16"/>
      <selection pane="topRight" activeCell="E16" sqref="E16"/>
    </sheetView>
  </sheetViews>
  <sheetFormatPr defaultRowHeight="12.75"/>
  <cols>
    <col min="1" max="1" width="32.42578125" bestFit="1" customWidth="1"/>
    <col min="2" max="2" width="40.85546875" bestFit="1" customWidth="1"/>
    <col min="3" max="3" width="20.7109375" bestFit="1" customWidth="1"/>
    <col min="4" max="6" width="11.140625" bestFit="1" customWidth="1"/>
    <col min="7" max="7" width="13.140625" bestFit="1" customWidth="1"/>
    <col min="8" max="11" width="11.140625" bestFit="1" customWidth="1"/>
    <col min="12" max="12" width="19" bestFit="1" customWidth="1"/>
    <col min="13" max="49" width="11.140625" bestFit="1" customWidth="1"/>
    <col min="51" max="51" width="16.85546875" bestFit="1" customWidth="1"/>
  </cols>
  <sheetData>
    <row r="1" spans="1:51" ht="13.5" thickBot="1">
      <c r="A1" s="831" t="s">
        <v>105</v>
      </c>
      <c r="B1" s="832" t="s">
        <v>106</v>
      </c>
      <c r="C1" s="834" t="s">
        <v>107</v>
      </c>
      <c r="D1" s="834" t="s">
        <v>108</v>
      </c>
      <c r="E1" s="824" t="s">
        <v>109</v>
      </c>
      <c r="F1" s="836"/>
      <c r="G1" s="837" t="s">
        <v>110</v>
      </c>
      <c r="H1" s="837"/>
      <c r="I1" s="824" t="s">
        <v>111</v>
      </c>
      <c r="J1" s="826" t="s">
        <v>112</v>
      </c>
    </row>
    <row r="2" spans="1:51" ht="13.5" thickBot="1">
      <c r="A2" s="831"/>
      <c r="B2" s="833"/>
      <c r="C2" s="835"/>
      <c r="D2" s="835"/>
      <c r="E2" s="63" t="s">
        <v>114</v>
      </c>
      <c r="F2" s="31" t="s">
        <v>115</v>
      </c>
      <c r="G2" s="32" t="s">
        <v>114</v>
      </c>
      <c r="H2" s="32" t="s">
        <v>115</v>
      </c>
      <c r="I2" s="825"/>
      <c r="J2" s="827"/>
      <c r="L2" s="64" t="s">
        <v>170</v>
      </c>
      <c r="M2" s="828" t="s">
        <v>171</v>
      </c>
      <c r="N2" s="829"/>
      <c r="O2" s="829"/>
      <c r="P2" s="830"/>
    </row>
    <row r="3" spans="1:51">
      <c r="A3" s="33" t="s">
        <v>116</v>
      </c>
      <c r="B3" s="34" t="str">
        <f>+B1</f>
        <v>Navn</v>
      </c>
      <c r="C3" s="35" t="s">
        <v>107</v>
      </c>
      <c r="D3" s="36" t="str">
        <f>+D1</f>
        <v>Enhed</v>
      </c>
      <c r="E3" s="37" t="str">
        <f>+E2</f>
        <v>Rækker</v>
      </c>
      <c r="F3" s="38" t="str">
        <f>+F2</f>
        <v>Søjler</v>
      </c>
      <c r="G3" s="36" t="str">
        <f>+G2</f>
        <v>Rækker</v>
      </c>
      <c r="H3" s="36" t="str">
        <f>+H2</f>
        <v>Søjler</v>
      </c>
      <c r="I3" s="37" t="str">
        <f>+I1</f>
        <v>Første år</v>
      </c>
      <c r="J3" s="39" t="str">
        <f>+J1</f>
        <v>Sidste år</v>
      </c>
    </row>
    <row r="4" spans="1:51" ht="26.25" thickBot="1">
      <c r="A4" s="40"/>
      <c r="B4" s="41" t="s">
        <v>117</v>
      </c>
      <c r="C4" s="42" t="s">
        <v>118</v>
      </c>
      <c r="D4" s="43" t="s">
        <v>119</v>
      </c>
      <c r="E4" s="44">
        <v>120</v>
      </c>
      <c r="F4" s="45">
        <v>46</v>
      </c>
      <c r="G4" s="43" t="s">
        <v>120</v>
      </c>
      <c r="H4" s="43" t="s">
        <v>121</v>
      </c>
      <c r="I4" s="44">
        <v>1966</v>
      </c>
      <c r="J4" s="46">
        <v>2012</v>
      </c>
    </row>
    <row r="6" spans="1:51" ht="15.75">
      <c r="A6" s="75" t="s">
        <v>113</v>
      </c>
      <c r="B6" s="76"/>
      <c r="C6" s="76"/>
    </row>
    <row r="7" spans="1:51" ht="15">
      <c r="A7" s="77"/>
      <c r="B7" s="77"/>
      <c r="C7" s="78"/>
    </row>
    <row r="8" spans="1:51" ht="15">
      <c r="A8" s="79" t="s">
        <v>172</v>
      </c>
      <c r="B8" s="79" t="s">
        <v>173</v>
      </c>
      <c r="C8" s="79" t="s">
        <v>179</v>
      </c>
    </row>
    <row r="9" spans="1:51" ht="15">
      <c r="A9" s="80" t="s">
        <v>123</v>
      </c>
      <c r="B9" s="80" t="s">
        <v>122</v>
      </c>
      <c r="C9" s="80" t="s">
        <v>124</v>
      </c>
      <c r="AU9">
        <f>('MIN-IMP-EXP_Data'!AU25+'MIN-IMP-EXP_Data'!AU26+'MIN-IMP-EXP_Data'!AU27)*10^-6</f>
        <v>93.795397999999992</v>
      </c>
    </row>
    <row r="13" spans="1:51" ht="13.5" thickBot="1">
      <c r="A13" s="62" t="s">
        <v>178</v>
      </c>
    </row>
    <row r="14" spans="1:51" ht="31.5" thickTop="1" thickBot="1">
      <c r="A14" s="47" t="s">
        <v>140</v>
      </c>
      <c r="B14" s="48" t="s">
        <v>141</v>
      </c>
      <c r="C14" s="49">
        <v>1966</v>
      </c>
      <c r="D14" s="50">
        <v>1967</v>
      </c>
      <c r="E14" s="50">
        <v>1968</v>
      </c>
      <c r="F14" s="50">
        <v>1969</v>
      </c>
      <c r="G14" s="50">
        <v>1970</v>
      </c>
      <c r="H14" s="50">
        <v>1971</v>
      </c>
      <c r="I14" s="50">
        <v>1972</v>
      </c>
      <c r="J14" s="50">
        <v>1973</v>
      </c>
      <c r="K14" s="50">
        <v>1974</v>
      </c>
      <c r="L14" s="50">
        <v>1975</v>
      </c>
      <c r="M14" s="50">
        <v>1976</v>
      </c>
      <c r="N14" s="50">
        <v>1977</v>
      </c>
      <c r="O14" s="50">
        <v>1978</v>
      </c>
      <c r="P14" s="50">
        <v>1979</v>
      </c>
      <c r="Q14" s="50">
        <v>1980</v>
      </c>
      <c r="R14" s="50">
        <v>1981</v>
      </c>
      <c r="S14" s="50">
        <v>1982</v>
      </c>
      <c r="T14" s="50">
        <v>1983</v>
      </c>
      <c r="U14" s="50">
        <v>1984</v>
      </c>
      <c r="V14" s="50">
        <v>1985</v>
      </c>
      <c r="W14" s="50">
        <v>1986</v>
      </c>
      <c r="X14" s="50">
        <v>1987</v>
      </c>
      <c r="Y14" s="50">
        <v>1988</v>
      </c>
      <c r="Z14" s="50">
        <v>1989</v>
      </c>
      <c r="AA14" s="50">
        <v>1990</v>
      </c>
      <c r="AB14" s="50">
        <v>1991</v>
      </c>
      <c r="AC14" s="50">
        <v>1992</v>
      </c>
      <c r="AD14" s="50">
        <v>1993</v>
      </c>
      <c r="AE14" s="50">
        <v>1994</v>
      </c>
      <c r="AF14" s="50">
        <v>1995</v>
      </c>
      <c r="AG14" s="50">
        <v>1996</v>
      </c>
      <c r="AH14" s="50">
        <v>1997</v>
      </c>
      <c r="AI14" s="50">
        <v>1998</v>
      </c>
      <c r="AJ14" s="50">
        <v>1999</v>
      </c>
      <c r="AK14" s="50">
        <v>2000</v>
      </c>
      <c r="AL14" s="50">
        <v>2001</v>
      </c>
      <c r="AM14" s="50">
        <v>2002</v>
      </c>
      <c r="AN14" s="50">
        <v>2003</v>
      </c>
      <c r="AO14" s="50">
        <v>2004</v>
      </c>
      <c r="AP14" s="50">
        <v>2005</v>
      </c>
      <c r="AQ14" s="50">
        <v>2006</v>
      </c>
      <c r="AR14" s="50">
        <v>2007</v>
      </c>
      <c r="AS14" s="50">
        <v>2008</v>
      </c>
      <c r="AT14" s="50">
        <v>2009</v>
      </c>
      <c r="AU14" s="50">
        <v>2010</v>
      </c>
      <c r="AV14" s="50">
        <v>2011</v>
      </c>
      <c r="AW14" s="51">
        <v>2012</v>
      </c>
      <c r="AY14" s="29" t="s">
        <v>181</v>
      </c>
    </row>
    <row r="15" spans="1:51" ht="15">
      <c r="A15" s="65" t="s">
        <v>172</v>
      </c>
      <c r="B15" s="66" t="s">
        <v>146</v>
      </c>
      <c r="C15" s="67">
        <v>0</v>
      </c>
      <c r="D15" s="68">
        <v>0</v>
      </c>
      <c r="E15" s="68">
        <v>0</v>
      </c>
      <c r="F15" s="68">
        <v>0</v>
      </c>
      <c r="G15" s="68">
        <v>0</v>
      </c>
      <c r="H15" s="68">
        <v>0</v>
      </c>
      <c r="I15" s="68">
        <v>3943200</v>
      </c>
      <c r="J15" s="68">
        <v>5851200</v>
      </c>
      <c r="K15" s="68">
        <v>3816000</v>
      </c>
      <c r="L15" s="68">
        <v>7038400</v>
      </c>
      <c r="M15" s="68">
        <v>8417036</v>
      </c>
      <c r="N15" s="68">
        <v>21802080</v>
      </c>
      <c r="O15" s="68">
        <v>18235138</v>
      </c>
      <c r="P15" s="68">
        <v>17871091</v>
      </c>
      <c r="Q15" s="68">
        <v>11870855</v>
      </c>
      <c r="R15" s="68">
        <v>32227731</v>
      </c>
      <c r="S15" s="68">
        <v>70507723</v>
      </c>
      <c r="T15" s="68">
        <v>91105389</v>
      </c>
      <c r="U15" s="68">
        <v>94094292</v>
      </c>
      <c r="V15" s="68">
        <v>120982803</v>
      </c>
      <c r="W15" s="68">
        <v>154620031</v>
      </c>
      <c r="X15" s="68">
        <v>196484178</v>
      </c>
      <c r="Y15" s="68">
        <v>202144405</v>
      </c>
      <c r="Z15" s="68">
        <v>236154058</v>
      </c>
      <c r="AA15" s="68">
        <v>255958660</v>
      </c>
      <c r="AB15" s="68">
        <v>298602296</v>
      </c>
      <c r="AC15" s="68">
        <v>331178681</v>
      </c>
      <c r="AD15" s="68">
        <v>352919428</v>
      </c>
      <c r="AE15" s="68">
        <v>389346927</v>
      </c>
      <c r="AF15" s="68">
        <v>391563313</v>
      </c>
      <c r="AG15" s="68">
        <v>432220203</v>
      </c>
      <c r="AH15" s="68">
        <v>479242009</v>
      </c>
      <c r="AI15" s="68">
        <v>491587352</v>
      </c>
      <c r="AJ15" s="68">
        <v>621996548</v>
      </c>
      <c r="AK15" s="68">
        <v>764525681</v>
      </c>
      <c r="AL15" s="68">
        <v>726121091</v>
      </c>
      <c r="AM15" s="68">
        <v>780149645</v>
      </c>
      <c r="AN15" s="68">
        <v>780139669</v>
      </c>
      <c r="AO15" s="68">
        <v>828270558</v>
      </c>
      <c r="AP15" s="68">
        <v>796223690</v>
      </c>
      <c r="AQ15" s="68">
        <v>724062380</v>
      </c>
      <c r="AR15" s="68">
        <v>652260507</v>
      </c>
      <c r="AS15" s="68">
        <v>603525081</v>
      </c>
      <c r="AT15" s="68">
        <v>554826033</v>
      </c>
      <c r="AU15" s="68">
        <v>525175985</v>
      </c>
      <c r="AV15" s="68">
        <v>471290965</v>
      </c>
      <c r="AW15" s="69">
        <v>430009460</v>
      </c>
      <c r="AY15" s="56">
        <f>MAX(AK15:AW15)</f>
        <v>828270558</v>
      </c>
    </row>
    <row r="16" spans="1:51" ht="15">
      <c r="A16" s="52" t="s">
        <v>173</v>
      </c>
      <c r="B16" s="30" t="s">
        <v>146</v>
      </c>
      <c r="C16" s="53">
        <v>196941298</v>
      </c>
      <c r="D16" s="54">
        <v>277214038</v>
      </c>
      <c r="E16" s="54">
        <v>286342334</v>
      </c>
      <c r="F16" s="54">
        <v>388734091</v>
      </c>
      <c r="G16" s="54">
        <v>429165846</v>
      </c>
      <c r="H16" s="54">
        <v>452172421</v>
      </c>
      <c r="I16" s="54">
        <v>418706948</v>
      </c>
      <c r="J16" s="54">
        <v>413649094</v>
      </c>
      <c r="K16" s="54">
        <v>396674048</v>
      </c>
      <c r="L16" s="54">
        <v>335615589</v>
      </c>
      <c r="M16" s="54">
        <v>321557233</v>
      </c>
      <c r="N16" s="54">
        <v>311044916</v>
      </c>
      <c r="O16" s="54">
        <v>327532538</v>
      </c>
      <c r="P16" s="54">
        <v>337192318</v>
      </c>
      <c r="Q16" s="54">
        <v>244395762</v>
      </c>
      <c r="R16" s="54">
        <v>214909789</v>
      </c>
      <c r="S16" s="54">
        <v>171458496</v>
      </c>
      <c r="T16" s="54">
        <v>225247211</v>
      </c>
      <c r="U16" s="54">
        <v>224562410</v>
      </c>
      <c r="V16" s="54">
        <v>203795189</v>
      </c>
      <c r="W16" s="54">
        <v>182507705</v>
      </c>
      <c r="X16" s="54">
        <v>179713926</v>
      </c>
      <c r="Y16" s="54">
        <v>191400808</v>
      </c>
      <c r="Z16" s="54">
        <v>183504868</v>
      </c>
      <c r="AA16" s="54">
        <v>174344602</v>
      </c>
      <c r="AB16" s="54">
        <v>216764827</v>
      </c>
      <c r="AC16" s="54">
        <v>222381725</v>
      </c>
      <c r="AD16" s="54">
        <v>215692870</v>
      </c>
      <c r="AE16" s="54">
        <v>224694787</v>
      </c>
      <c r="AF16" s="54">
        <v>228986000</v>
      </c>
      <c r="AG16" s="54">
        <v>234594868</v>
      </c>
      <c r="AH16" s="54">
        <v>186062075</v>
      </c>
      <c r="AI16" s="54">
        <v>202439141</v>
      </c>
      <c r="AJ16" s="54">
        <v>194807415</v>
      </c>
      <c r="AK16" s="54">
        <v>159349314</v>
      </c>
      <c r="AL16" s="54">
        <v>130795852</v>
      </c>
      <c r="AM16" s="54">
        <v>140204037</v>
      </c>
      <c r="AN16" s="54">
        <v>150155484</v>
      </c>
      <c r="AO16" s="54">
        <v>160588660</v>
      </c>
      <c r="AP16" s="54">
        <v>116941725</v>
      </c>
      <c r="AQ16" s="54">
        <v>116460856</v>
      </c>
      <c r="AR16" s="54">
        <v>87380816</v>
      </c>
      <c r="AS16" s="54">
        <v>101651484</v>
      </c>
      <c r="AT16" s="54">
        <v>150972441</v>
      </c>
      <c r="AU16" s="54">
        <v>116616731</v>
      </c>
      <c r="AV16" s="54">
        <v>112892716</v>
      </c>
      <c r="AW16" s="55">
        <v>135466598</v>
      </c>
      <c r="AY16" s="56">
        <f t="shared" ref="AY16:AY41" si="0">MAX(AK16:AW16)</f>
        <v>160588660</v>
      </c>
    </row>
    <row r="17" spans="1:51" ht="15">
      <c r="A17" s="52" t="s">
        <v>173</v>
      </c>
      <c r="B17" s="87" t="s">
        <v>174</v>
      </c>
      <c r="C17" s="53">
        <v>0</v>
      </c>
      <c r="D17" s="54">
        <v>0</v>
      </c>
      <c r="E17" s="54">
        <v>0</v>
      </c>
      <c r="F17" s="54">
        <v>0</v>
      </c>
      <c r="G17" s="54">
        <v>0</v>
      </c>
      <c r="H17" s="54">
        <v>0</v>
      </c>
      <c r="I17" s="54">
        <v>0</v>
      </c>
      <c r="J17" s="54">
        <v>0</v>
      </c>
      <c r="K17" s="54">
        <v>1007677</v>
      </c>
      <c r="L17" s="54">
        <v>3453</v>
      </c>
      <c r="M17" s="54">
        <v>6843491</v>
      </c>
      <c r="N17" s="54">
        <v>7373766</v>
      </c>
      <c r="O17" s="54">
        <v>6215206</v>
      </c>
      <c r="P17" s="54">
        <v>45518013</v>
      </c>
      <c r="Q17" s="54">
        <v>43374006</v>
      </c>
      <c r="R17" s="54">
        <v>27077992</v>
      </c>
      <c r="S17" s="54">
        <v>38060467</v>
      </c>
      <c r="T17" s="54">
        <v>24187070</v>
      </c>
      <c r="U17" s="54">
        <v>31302961</v>
      </c>
      <c r="V17" s="54">
        <v>47546206</v>
      </c>
      <c r="W17" s="54">
        <v>53675970</v>
      </c>
      <c r="X17" s="54">
        <v>45690104</v>
      </c>
      <c r="Y17" s="54">
        <v>26849070</v>
      </c>
      <c r="Z17" s="54">
        <v>37413510</v>
      </c>
      <c r="AA17" s="54">
        <v>28896669</v>
      </c>
      <c r="AB17" s="54">
        <v>24512179</v>
      </c>
      <c r="AC17" s="54">
        <v>24181337</v>
      </c>
      <c r="AD17" s="54">
        <v>30738686</v>
      </c>
      <c r="AE17" s="54">
        <v>19418975</v>
      </c>
      <c r="AF17" s="54">
        <v>20788331</v>
      </c>
      <c r="AG17" s="54">
        <v>11654274</v>
      </c>
      <c r="AH17" s="54">
        <v>4533207</v>
      </c>
      <c r="AI17" s="54">
        <v>9675167</v>
      </c>
      <c r="AJ17" s="54">
        <v>2391359</v>
      </c>
      <c r="AK17" s="54">
        <v>2978521</v>
      </c>
      <c r="AL17" s="54">
        <v>2441311</v>
      </c>
      <c r="AM17" s="54">
        <v>4867367</v>
      </c>
      <c r="AN17" s="54">
        <v>3213358</v>
      </c>
      <c r="AO17" s="54">
        <v>1481007</v>
      </c>
      <c r="AP17" s="54">
        <v>2938494</v>
      </c>
      <c r="AQ17" s="54">
        <v>6643309</v>
      </c>
      <c r="AR17" s="54">
        <v>3534535</v>
      </c>
      <c r="AS17" s="54">
        <v>15610181</v>
      </c>
      <c r="AT17" s="54">
        <v>11392403</v>
      </c>
      <c r="AU17" s="54">
        <v>7738385</v>
      </c>
      <c r="AV17" s="54">
        <v>5023583</v>
      </c>
      <c r="AW17" s="55">
        <v>3242595</v>
      </c>
      <c r="AY17" s="56">
        <f t="shared" si="0"/>
        <v>15610181</v>
      </c>
    </row>
    <row r="18" spans="1:51" ht="15">
      <c r="A18" s="52" t="s">
        <v>173</v>
      </c>
      <c r="B18" s="30" t="s">
        <v>102</v>
      </c>
      <c r="C18" s="53">
        <v>0</v>
      </c>
      <c r="D18" s="54">
        <v>0</v>
      </c>
      <c r="E18" s="54">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0</v>
      </c>
      <c r="AB18" s="54">
        <v>0</v>
      </c>
      <c r="AC18" s="54">
        <v>0</v>
      </c>
      <c r="AD18" s="54">
        <v>0</v>
      </c>
      <c r="AE18" s="54">
        <v>0</v>
      </c>
      <c r="AF18" s="54">
        <v>0</v>
      </c>
      <c r="AG18" s="54">
        <v>0</v>
      </c>
      <c r="AH18" s="54">
        <v>0</v>
      </c>
      <c r="AI18" s="54">
        <v>0</v>
      </c>
      <c r="AJ18" s="54">
        <v>0</v>
      </c>
      <c r="AK18" s="54">
        <v>0</v>
      </c>
      <c r="AL18" s="54">
        <v>0</v>
      </c>
      <c r="AM18" s="54">
        <v>0</v>
      </c>
      <c r="AN18" s="54">
        <v>0</v>
      </c>
      <c r="AO18" s="54">
        <v>0</v>
      </c>
      <c r="AP18" s="54">
        <v>0</v>
      </c>
      <c r="AQ18" s="54">
        <v>0</v>
      </c>
      <c r="AR18" s="54">
        <v>0</v>
      </c>
      <c r="AS18" s="54">
        <v>0</v>
      </c>
      <c r="AT18" s="54">
        <v>0</v>
      </c>
      <c r="AU18" s="54">
        <v>0</v>
      </c>
      <c r="AV18" s="54">
        <v>0</v>
      </c>
      <c r="AW18" s="55">
        <v>0</v>
      </c>
      <c r="AY18" s="56">
        <f t="shared" si="0"/>
        <v>0</v>
      </c>
    </row>
    <row r="19" spans="1:51" ht="15">
      <c r="A19" s="52" t="s">
        <v>173</v>
      </c>
      <c r="B19" s="30" t="s">
        <v>79</v>
      </c>
      <c r="C19" s="53">
        <v>4258396</v>
      </c>
      <c r="D19" s="54">
        <v>3579987</v>
      </c>
      <c r="E19" s="54">
        <v>4006136</v>
      </c>
      <c r="F19" s="54">
        <v>4193671</v>
      </c>
      <c r="G19" s="54">
        <v>5051592</v>
      </c>
      <c r="H19" s="54">
        <v>4893607</v>
      </c>
      <c r="I19" s="54">
        <v>5369083</v>
      </c>
      <c r="J19" s="54">
        <v>5340316</v>
      </c>
      <c r="K19" s="54">
        <v>4751619</v>
      </c>
      <c r="L19" s="54">
        <v>4200540</v>
      </c>
      <c r="M19" s="54">
        <v>5328837</v>
      </c>
      <c r="N19" s="54">
        <v>4900015</v>
      </c>
      <c r="O19" s="54">
        <v>4366250</v>
      </c>
      <c r="P19" s="54">
        <v>4936976</v>
      </c>
      <c r="Q19" s="54">
        <v>6731697</v>
      </c>
      <c r="R19" s="54">
        <v>7008906</v>
      </c>
      <c r="S19" s="54">
        <v>7542607</v>
      </c>
      <c r="T19" s="54">
        <v>6377538</v>
      </c>
      <c r="U19" s="54">
        <v>5409506</v>
      </c>
      <c r="V19" s="54">
        <v>5271068</v>
      </c>
      <c r="W19" s="54">
        <v>2659500</v>
      </c>
      <c r="X19" s="54">
        <v>2393277</v>
      </c>
      <c r="Y19" s="54">
        <v>1493254</v>
      </c>
      <c r="Z19" s="54">
        <v>952066</v>
      </c>
      <c r="AA19" s="54">
        <v>785376</v>
      </c>
      <c r="AB19" s="54">
        <v>794074</v>
      </c>
      <c r="AC19" s="54">
        <v>642566</v>
      </c>
      <c r="AD19" s="54">
        <v>751710</v>
      </c>
      <c r="AE19" s="54">
        <v>903691</v>
      </c>
      <c r="AF19" s="54">
        <v>842773</v>
      </c>
      <c r="AG19" s="54">
        <v>765101</v>
      </c>
      <c r="AH19" s="54">
        <v>339217</v>
      </c>
      <c r="AI19" s="54">
        <v>531812</v>
      </c>
      <c r="AJ19" s="54">
        <v>1345345</v>
      </c>
      <c r="AK19" s="54">
        <v>350106</v>
      </c>
      <c r="AL19" s="54">
        <v>306044</v>
      </c>
      <c r="AM19" s="54">
        <v>117435</v>
      </c>
      <c r="AN19" s="54">
        <v>188587</v>
      </c>
      <c r="AO19" s="54">
        <v>179630</v>
      </c>
      <c r="AP19" s="54">
        <v>275632</v>
      </c>
      <c r="AQ19" s="54">
        <v>110262</v>
      </c>
      <c r="AR19" s="54">
        <v>186208</v>
      </c>
      <c r="AS19" s="54">
        <v>737849</v>
      </c>
      <c r="AT19" s="54">
        <v>174584</v>
      </c>
      <c r="AU19" s="54">
        <v>456016</v>
      </c>
      <c r="AV19" s="54">
        <v>356960</v>
      </c>
      <c r="AW19" s="55">
        <v>3391120</v>
      </c>
      <c r="AY19" s="56">
        <f t="shared" si="0"/>
        <v>3391120</v>
      </c>
    </row>
    <row r="20" spans="1:51" ht="15">
      <c r="A20" s="52" t="s">
        <v>173</v>
      </c>
      <c r="B20" s="30" t="s">
        <v>104</v>
      </c>
      <c r="C20" s="53">
        <v>13055002</v>
      </c>
      <c r="D20" s="54">
        <v>9425232</v>
      </c>
      <c r="E20" s="54">
        <v>11776233</v>
      </c>
      <c r="F20" s="54">
        <v>10553100</v>
      </c>
      <c r="G20" s="54">
        <v>10417424</v>
      </c>
      <c r="H20" s="54">
        <v>11315524</v>
      </c>
      <c r="I20" s="54">
        <v>15900511</v>
      </c>
      <c r="J20" s="54">
        <v>18780037</v>
      </c>
      <c r="K20" s="54">
        <v>13993385</v>
      </c>
      <c r="L20" s="54">
        <v>13183502</v>
      </c>
      <c r="M20" s="54">
        <v>14846115</v>
      </c>
      <c r="N20" s="54">
        <v>15632465</v>
      </c>
      <c r="O20" s="54">
        <v>7156968</v>
      </c>
      <c r="P20" s="54">
        <v>2988668</v>
      </c>
      <c r="Q20" s="54">
        <v>2408595</v>
      </c>
      <c r="R20" s="54">
        <v>5199932</v>
      </c>
      <c r="S20" s="54">
        <v>6027608</v>
      </c>
      <c r="T20" s="54">
        <v>3657496</v>
      </c>
      <c r="U20" s="54">
        <v>2392517</v>
      </c>
      <c r="V20" s="54">
        <v>2787342</v>
      </c>
      <c r="W20" s="54">
        <v>1900915</v>
      </c>
      <c r="X20" s="54">
        <v>1923866</v>
      </c>
      <c r="Y20" s="54">
        <v>5521001</v>
      </c>
      <c r="Z20" s="54">
        <v>4668412</v>
      </c>
      <c r="AA20" s="54">
        <v>4736878</v>
      </c>
      <c r="AB20" s="54">
        <v>4874213</v>
      </c>
      <c r="AC20" s="54">
        <v>5934123</v>
      </c>
      <c r="AD20" s="54">
        <v>3174491</v>
      </c>
      <c r="AE20" s="54">
        <v>3563043</v>
      </c>
      <c r="AF20" s="54">
        <v>475262</v>
      </c>
      <c r="AG20" s="54">
        <v>3117610</v>
      </c>
      <c r="AH20" s="54">
        <v>1322684</v>
      </c>
      <c r="AI20" s="54">
        <v>3071024</v>
      </c>
      <c r="AJ20" s="54">
        <v>7321139</v>
      </c>
      <c r="AK20" s="54">
        <v>5973868</v>
      </c>
      <c r="AL20" s="54">
        <v>4982020</v>
      </c>
      <c r="AM20" s="54">
        <v>8658979</v>
      </c>
      <c r="AN20" s="54">
        <v>4292582</v>
      </c>
      <c r="AO20" s="54">
        <v>4935006</v>
      </c>
      <c r="AP20" s="54">
        <v>7877746</v>
      </c>
      <c r="AQ20" s="54">
        <v>1726956</v>
      </c>
      <c r="AR20" s="54">
        <v>2750946</v>
      </c>
      <c r="AS20" s="54">
        <v>6425935</v>
      </c>
      <c r="AT20" s="54">
        <v>5337986</v>
      </c>
      <c r="AU20" s="54">
        <v>5949700</v>
      </c>
      <c r="AV20" s="54">
        <v>7728600</v>
      </c>
      <c r="AW20" s="55">
        <v>5288469</v>
      </c>
      <c r="AY20" s="56">
        <f t="shared" si="0"/>
        <v>8658979</v>
      </c>
    </row>
    <row r="21" spans="1:51" ht="15">
      <c r="A21" s="52" t="s">
        <v>173</v>
      </c>
      <c r="B21" s="30" t="s">
        <v>81</v>
      </c>
      <c r="C21" s="53">
        <v>34434729</v>
      </c>
      <c r="D21" s="54">
        <v>25095323</v>
      </c>
      <c r="E21" s="54">
        <v>27044080</v>
      </c>
      <c r="F21" s="54">
        <v>24605122</v>
      </c>
      <c r="G21" s="54">
        <v>28571844</v>
      </c>
      <c r="H21" s="54">
        <v>29139475</v>
      </c>
      <c r="I21" s="54">
        <v>31582783</v>
      </c>
      <c r="J21" s="54">
        <v>32152546</v>
      </c>
      <c r="K21" s="54">
        <v>26930676</v>
      </c>
      <c r="L21" s="54">
        <v>32971486</v>
      </c>
      <c r="M21" s="54">
        <v>36963388</v>
      </c>
      <c r="N21" s="54">
        <v>34318118</v>
      </c>
      <c r="O21" s="54">
        <v>34166680</v>
      </c>
      <c r="P21" s="54">
        <v>34417581</v>
      </c>
      <c r="Q21" s="54">
        <v>32204457</v>
      </c>
      <c r="R21" s="54">
        <v>29183656</v>
      </c>
      <c r="S21" s="54">
        <v>29407503</v>
      </c>
      <c r="T21" s="54">
        <v>26835834</v>
      </c>
      <c r="U21" s="54">
        <v>27481911</v>
      </c>
      <c r="V21" s="54">
        <v>28575748</v>
      </c>
      <c r="W21" s="54">
        <v>26409292</v>
      </c>
      <c r="X21" s="54">
        <v>30774763</v>
      </c>
      <c r="Y21" s="54">
        <v>23500474</v>
      </c>
      <c r="Z21" s="54">
        <v>24573906</v>
      </c>
      <c r="AA21" s="54">
        <v>23853830</v>
      </c>
      <c r="AB21" s="54">
        <v>26329397</v>
      </c>
      <c r="AC21" s="54">
        <v>27645293</v>
      </c>
      <c r="AD21" s="54">
        <v>33481333</v>
      </c>
      <c r="AE21" s="54">
        <v>40808791</v>
      </c>
      <c r="AF21" s="54">
        <v>31562258</v>
      </c>
      <c r="AG21" s="54">
        <v>31938057</v>
      </c>
      <c r="AH21" s="54">
        <v>42647972</v>
      </c>
      <c r="AI21" s="54">
        <v>34662909</v>
      </c>
      <c r="AJ21" s="54">
        <v>30306592</v>
      </c>
      <c r="AK21" s="54">
        <v>34695370</v>
      </c>
      <c r="AL21" s="54">
        <v>33851559</v>
      </c>
      <c r="AM21" s="54">
        <v>35509022</v>
      </c>
      <c r="AN21" s="54">
        <v>33347925</v>
      </c>
      <c r="AO21" s="54">
        <v>31811172</v>
      </c>
      <c r="AP21" s="54">
        <v>32077373</v>
      </c>
      <c r="AQ21" s="54">
        <v>31050389</v>
      </c>
      <c r="AR21" s="54">
        <v>34569632</v>
      </c>
      <c r="AS21" s="54">
        <v>26221978</v>
      </c>
      <c r="AT21" s="54">
        <v>24673627</v>
      </c>
      <c r="AU21" s="54">
        <v>21552177</v>
      </c>
      <c r="AV21" s="54">
        <v>20554416</v>
      </c>
      <c r="AW21" s="55">
        <v>17493238</v>
      </c>
      <c r="AY21" s="56">
        <f t="shared" si="0"/>
        <v>35509022</v>
      </c>
    </row>
    <row r="22" spans="1:51" ht="15">
      <c r="A22" s="52" t="s">
        <v>173</v>
      </c>
      <c r="B22" s="30" t="s">
        <v>100</v>
      </c>
      <c r="C22" s="53">
        <v>17762926</v>
      </c>
      <c r="D22" s="54">
        <v>17465214</v>
      </c>
      <c r="E22" s="54">
        <v>23471146</v>
      </c>
      <c r="F22" s="54">
        <v>25771924</v>
      </c>
      <c r="G22" s="54">
        <v>25431929</v>
      </c>
      <c r="H22" s="54">
        <v>25369007</v>
      </c>
      <c r="I22" s="54">
        <v>28575952</v>
      </c>
      <c r="J22" s="54">
        <v>29303359</v>
      </c>
      <c r="K22" s="54">
        <v>32273650</v>
      </c>
      <c r="L22" s="54">
        <v>34368934</v>
      </c>
      <c r="M22" s="54">
        <v>35729542</v>
      </c>
      <c r="N22" s="54">
        <v>37175919</v>
      </c>
      <c r="O22" s="54">
        <v>38461922</v>
      </c>
      <c r="P22" s="54">
        <v>39098768</v>
      </c>
      <c r="Q22" s="54">
        <v>35898230</v>
      </c>
      <c r="R22" s="54">
        <v>32142321</v>
      </c>
      <c r="S22" s="54">
        <v>33215329</v>
      </c>
      <c r="T22" s="54">
        <v>34724959</v>
      </c>
      <c r="U22" s="54">
        <v>33300471</v>
      </c>
      <c r="V22" s="54">
        <v>31112832</v>
      </c>
      <c r="W22" s="54">
        <v>28830827</v>
      </c>
      <c r="X22" s="54">
        <v>26655694</v>
      </c>
      <c r="Y22" s="54">
        <v>27463410</v>
      </c>
      <c r="Z22" s="54">
        <v>31669960</v>
      </c>
      <c r="AA22" s="54">
        <v>31883160</v>
      </c>
      <c r="AB22" s="54">
        <v>28514468</v>
      </c>
      <c r="AC22" s="54">
        <v>24763478</v>
      </c>
      <c r="AD22" s="54">
        <v>24224685</v>
      </c>
      <c r="AE22" s="54">
        <v>22915510</v>
      </c>
      <c r="AF22" s="54">
        <v>20682090</v>
      </c>
      <c r="AG22" s="54">
        <v>16765676</v>
      </c>
      <c r="AH22" s="54">
        <v>19066785</v>
      </c>
      <c r="AI22" s="54">
        <v>28757159</v>
      </c>
      <c r="AJ22" s="54">
        <v>27747721</v>
      </c>
      <c r="AK22" s="54">
        <v>31495822</v>
      </c>
      <c r="AL22" s="54">
        <v>30279134</v>
      </c>
      <c r="AM22" s="54">
        <v>31382466</v>
      </c>
      <c r="AN22" s="54">
        <v>19726856</v>
      </c>
      <c r="AO22" s="54">
        <v>27976699</v>
      </c>
      <c r="AP22" s="54">
        <v>39363665</v>
      </c>
      <c r="AQ22" s="54">
        <v>21383367</v>
      </c>
      <c r="AR22" s="54">
        <v>33463473</v>
      </c>
      <c r="AS22" s="54">
        <v>36723119</v>
      </c>
      <c r="AT22" s="54">
        <v>31727981</v>
      </c>
      <c r="AU22" s="54">
        <v>35424433</v>
      </c>
      <c r="AV22" s="54">
        <v>31716587</v>
      </c>
      <c r="AW22" s="55">
        <v>36679311</v>
      </c>
      <c r="AY22" s="56">
        <f t="shared" si="0"/>
        <v>39363665</v>
      </c>
    </row>
    <row r="23" spans="1:51" ht="15">
      <c r="A23" s="52" t="s">
        <v>173</v>
      </c>
      <c r="B23" s="89" t="s">
        <v>73</v>
      </c>
      <c r="C23" s="90">
        <v>103530803</v>
      </c>
      <c r="D23" s="91">
        <v>87930785</v>
      </c>
      <c r="E23" s="91">
        <v>102151935</v>
      </c>
      <c r="F23" s="91">
        <v>112426921</v>
      </c>
      <c r="G23" s="91">
        <v>146765622</v>
      </c>
      <c r="H23" s="91">
        <v>119670891</v>
      </c>
      <c r="I23" s="91">
        <v>149254261</v>
      </c>
      <c r="J23" s="91">
        <v>160035628</v>
      </c>
      <c r="K23" s="91">
        <v>144443553</v>
      </c>
      <c r="L23" s="91">
        <v>146048970</v>
      </c>
      <c r="M23" s="91">
        <v>165708783</v>
      </c>
      <c r="N23" s="91">
        <v>156985706</v>
      </c>
      <c r="O23" s="91">
        <v>153497566</v>
      </c>
      <c r="P23" s="91">
        <v>140786671</v>
      </c>
      <c r="Q23" s="91">
        <v>114613033</v>
      </c>
      <c r="R23" s="91">
        <v>91982268</v>
      </c>
      <c r="S23" s="91">
        <v>93611522</v>
      </c>
      <c r="T23" s="91">
        <v>72819077</v>
      </c>
      <c r="U23" s="91">
        <v>63815134</v>
      </c>
      <c r="V23" s="91">
        <v>71887492</v>
      </c>
      <c r="W23" s="91">
        <v>60705335</v>
      </c>
      <c r="X23" s="91">
        <v>71512887</v>
      </c>
      <c r="Y23" s="91">
        <v>57568869</v>
      </c>
      <c r="Z23" s="91">
        <v>48412451</v>
      </c>
      <c r="AA23" s="91">
        <v>42045124</v>
      </c>
      <c r="AB23" s="91">
        <v>43962655</v>
      </c>
      <c r="AC23" s="91">
        <v>39281430</v>
      </c>
      <c r="AD23" s="91">
        <v>44734033</v>
      </c>
      <c r="AE23" s="91">
        <v>44355061</v>
      </c>
      <c r="AF23" s="91">
        <v>31106888</v>
      </c>
      <c r="AG23" s="91">
        <v>29068732</v>
      </c>
      <c r="AH23" s="91">
        <v>49546528</v>
      </c>
      <c r="AI23" s="91">
        <v>53339697</v>
      </c>
      <c r="AJ23" s="91">
        <v>42243988</v>
      </c>
      <c r="AK23" s="91">
        <v>44039914</v>
      </c>
      <c r="AL23" s="91">
        <v>42483640</v>
      </c>
      <c r="AM23" s="91">
        <v>36988970</v>
      </c>
      <c r="AN23" s="91">
        <v>41433319</v>
      </c>
      <c r="AO23" s="91">
        <v>34276142</v>
      </c>
      <c r="AP23" s="91">
        <v>50125053</v>
      </c>
      <c r="AQ23" s="91">
        <v>45647718</v>
      </c>
      <c r="AR23" s="91">
        <v>36277302</v>
      </c>
      <c r="AS23" s="91">
        <v>46648019</v>
      </c>
      <c r="AT23" s="91">
        <v>47556345</v>
      </c>
      <c r="AU23" s="91">
        <v>44360833</v>
      </c>
      <c r="AV23" s="91">
        <v>53992310</v>
      </c>
      <c r="AW23" s="92">
        <v>60139549</v>
      </c>
      <c r="AY23" s="56">
        <f t="shared" si="0"/>
        <v>60139549</v>
      </c>
    </row>
    <row r="24" spans="1:51" ht="15">
      <c r="A24" s="52" t="s">
        <v>173</v>
      </c>
      <c r="B24" s="89" t="s">
        <v>51</v>
      </c>
      <c r="C24" s="90">
        <v>29906823</v>
      </c>
      <c r="D24" s="91">
        <v>27440215</v>
      </c>
      <c r="E24" s="91">
        <v>25944263</v>
      </c>
      <c r="F24" s="91">
        <v>26131759</v>
      </c>
      <c r="G24" s="91">
        <v>19768990</v>
      </c>
      <c r="H24" s="91">
        <v>21557607</v>
      </c>
      <c r="I24" s="91">
        <v>22835575</v>
      </c>
      <c r="J24" s="91">
        <v>21231721</v>
      </c>
      <c r="K24" s="91">
        <v>20803611</v>
      </c>
      <c r="L24" s="91">
        <v>16246855</v>
      </c>
      <c r="M24" s="91">
        <v>18147809</v>
      </c>
      <c r="N24" s="91">
        <v>18293524</v>
      </c>
      <c r="O24" s="91">
        <v>22339156</v>
      </c>
      <c r="P24" s="91">
        <v>21554118</v>
      </c>
      <c r="Q24" s="91">
        <v>22067746</v>
      </c>
      <c r="R24" s="91">
        <v>20029629</v>
      </c>
      <c r="S24" s="91">
        <v>24210496</v>
      </c>
      <c r="T24" s="91">
        <v>21820124</v>
      </c>
      <c r="U24" s="91">
        <v>22584162</v>
      </c>
      <c r="V24" s="91">
        <v>23226750</v>
      </c>
      <c r="W24" s="91">
        <v>22834014</v>
      </c>
      <c r="X24" s="91">
        <v>27805383</v>
      </c>
      <c r="Y24" s="91">
        <v>24515957</v>
      </c>
      <c r="Z24" s="91">
        <v>23715167</v>
      </c>
      <c r="AA24" s="91">
        <v>23592151</v>
      </c>
      <c r="AB24" s="91">
        <v>24251787</v>
      </c>
      <c r="AC24" s="91">
        <v>21741626</v>
      </c>
      <c r="AD24" s="91">
        <v>25120114</v>
      </c>
      <c r="AE24" s="91">
        <v>27781044</v>
      </c>
      <c r="AF24" s="91">
        <v>19310419</v>
      </c>
      <c r="AG24" s="91">
        <v>17687273</v>
      </c>
      <c r="AH24" s="91">
        <v>29502639</v>
      </c>
      <c r="AI24" s="91">
        <v>35147180</v>
      </c>
      <c r="AJ24" s="91">
        <v>32342618</v>
      </c>
      <c r="AK24" s="91">
        <v>33361110</v>
      </c>
      <c r="AL24" s="91">
        <v>32653138</v>
      </c>
      <c r="AM24" s="91">
        <v>30028238</v>
      </c>
      <c r="AN24" s="91">
        <v>35796315</v>
      </c>
      <c r="AO24" s="91">
        <v>32748511</v>
      </c>
      <c r="AP24" s="91">
        <v>49289373</v>
      </c>
      <c r="AQ24" s="91">
        <v>54361105</v>
      </c>
      <c r="AR24" s="91">
        <v>48823626</v>
      </c>
      <c r="AS24" s="91">
        <v>60041264</v>
      </c>
      <c r="AT24" s="91">
        <v>60566630</v>
      </c>
      <c r="AU24" s="91">
        <v>59999763</v>
      </c>
      <c r="AV24" s="91">
        <v>50583771</v>
      </c>
      <c r="AW24" s="92">
        <v>42038946</v>
      </c>
      <c r="AY24" s="56">
        <f t="shared" si="0"/>
        <v>60566630</v>
      </c>
    </row>
    <row r="25" spans="1:51" ht="15">
      <c r="A25" s="52" t="s">
        <v>173</v>
      </c>
      <c r="B25" s="88" t="s">
        <v>103</v>
      </c>
      <c r="C25" s="93">
        <v>117845882</v>
      </c>
      <c r="D25" s="94">
        <v>91052320</v>
      </c>
      <c r="E25" s="94">
        <v>118668114</v>
      </c>
      <c r="F25" s="94">
        <v>146166169</v>
      </c>
      <c r="G25" s="94">
        <v>196310054</v>
      </c>
      <c r="H25" s="94">
        <v>188023386</v>
      </c>
      <c r="I25" s="94">
        <v>234117215</v>
      </c>
      <c r="J25" s="94">
        <v>205373592</v>
      </c>
      <c r="K25" s="94">
        <v>191736423</v>
      </c>
      <c r="L25" s="94">
        <v>197193144</v>
      </c>
      <c r="M25" s="94">
        <v>166421592</v>
      </c>
      <c r="N25" s="94">
        <v>197299070</v>
      </c>
      <c r="O25" s="94">
        <v>170084768</v>
      </c>
      <c r="P25" s="94">
        <v>117733357</v>
      </c>
      <c r="Q25" s="94">
        <v>101264095</v>
      </c>
      <c r="R25" s="94">
        <v>66324957</v>
      </c>
      <c r="S25" s="94">
        <v>62432776</v>
      </c>
      <c r="T25" s="94">
        <v>46976057</v>
      </c>
      <c r="U25" s="94">
        <v>39954948</v>
      </c>
      <c r="V25" s="94">
        <v>41717376</v>
      </c>
      <c r="W25" s="94">
        <v>45120522</v>
      </c>
      <c r="X25" s="94">
        <v>13400981</v>
      </c>
      <c r="Y25" s="94">
        <v>30720786</v>
      </c>
      <c r="Z25" s="94">
        <v>16075270</v>
      </c>
      <c r="AA25" s="94">
        <v>16567094</v>
      </c>
      <c r="AB25" s="94">
        <v>18106660</v>
      </c>
      <c r="AC25" s="94">
        <v>28331768</v>
      </c>
      <c r="AD25" s="94">
        <v>33247042</v>
      </c>
      <c r="AE25" s="94">
        <v>55737331</v>
      </c>
      <c r="AF25" s="94">
        <v>33293836</v>
      </c>
      <c r="AG25" s="94">
        <v>42220678</v>
      </c>
      <c r="AH25" s="94">
        <v>29460121</v>
      </c>
      <c r="AI25" s="94">
        <v>33094914</v>
      </c>
      <c r="AJ25" s="94">
        <v>28804956</v>
      </c>
      <c r="AK25" s="94">
        <v>29702165</v>
      </c>
      <c r="AL25" s="94">
        <v>45048054</v>
      </c>
      <c r="AM25" s="94">
        <v>34346624</v>
      </c>
      <c r="AN25" s="94">
        <v>51881655</v>
      </c>
      <c r="AO25" s="94">
        <v>86081538</v>
      </c>
      <c r="AP25" s="94">
        <v>89248002</v>
      </c>
      <c r="AQ25" s="94">
        <v>96391719</v>
      </c>
      <c r="AR25" s="94">
        <v>65154227</v>
      </c>
      <c r="AS25" s="94">
        <v>138316637</v>
      </c>
      <c r="AT25" s="94">
        <v>73583532</v>
      </c>
      <c r="AU25" s="94">
        <v>92666691</v>
      </c>
      <c r="AV25" s="94">
        <v>94455497</v>
      </c>
      <c r="AW25" s="95">
        <v>86071985</v>
      </c>
      <c r="AY25" s="56">
        <f t="shared" si="0"/>
        <v>138316637</v>
      </c>
    </row>
    <row r="26" spans="1:51" ht="15">
      <c r="A26" s="52" t="s">
        <v>173</v>
      </c>
      <c r="B26" s="88" t="s">
        <v>175</v>
      </c>
      <c r="C26" s="93">
        <v>0</v>
      </c>
      <c r="D26" s="94">
        <v>0</v>
      </c>
      <c r="E26" s="94">
        <v>0</v>
      </c>
      <c r="F26" s="94">
        <v>0</v>
      </c>
      <c r="G26" s="94">
        <v>0</v>
      </c>
      <c r="H26" s="94">
        <v>0</v>
      </c>
      <c r="I26" s="94">
        <v>0</v>
      </c>
      <c r="J26" s="94">
        <v>0</v>
      </c>
      <c r="K26" s="94">
        <v>0</v>
      </c>
      <c r="L26" s="94">
        <v>0</v>
      </c>
      <c r="M26" s="94">
        <v>0</v>
      </c>
      <c r="N26" s="94">
        <v>0</v>
      </c>
      <c r="O26" s="94">
        <v>0</v>
      </c>
      <c r="P26" s="94">
        <v>0</v>
      </c>
      <c r="Q26" s="94">
        <v>0</v>
      </c>
      <c r="R26" s="94">
        <v>0</v>
      </c>
      <c r="S26" s="94">
        <v>0</v>
      </c>
      <c r="T26" s="94">
        <v>0</v>
      </c>
      <c r="U26" s="94">
        <v>0</v>
      </c>
      <c r="V26" s="94">
        <v>0</v>
      </c>
      <c r="W26" s="94">
        <v>0</v>
      </c>
      <c r="X26" s="94">
        <v>0</v>
      </c>
      <c r="Y26" s="94">
        <v>0</v>
      </c>
      <c r="Z26" s="94">
        <v>0</v>
      </c>
      <c r="AA26" s="94">
        <v>0</v>
      </c>
      <c r="AB26" s="94">
        <v>0</v>
      </c>
      <c r="AC26" s="94">
        <v>0</v>
      </c>
      <c r="AD26" s="94">
        <v>0</v>
      </c>
      <c r="AE26" s="94">
        <v>0</v>
      </c>
      <c r="AF26" s="94">
        <v>0</v>
      </c>
      <c r="AG26" s="94">
        <v>0</v>
      </c>
      <c r="AH26" s="94">
        <v>0</v>
      </c>
      <c r="AI26" s="94">
        <v>0</v>
      </c>
      <c r="AJ26" s="94">
        <v>0</v>
      </c>
      <c r="AK26" s="94">
        <v>0</v>
      </c>
      <c r="AL26" s="94">
        <v>0</v>
      </c>
      <c r="AM26" s="94">
        <v>0</v>
      </c>
      <c r="AN26" s="94">
        <v>0</v>
      </c>
      <c r="AO26" s="94">
        <v>0</v>
      </c>
      <c r="AP26" s="94">
        <v>0</v>
      </c>
      <c r="AQ26" s="94">
        <v>0</v>
      </c>
      <c r="AR26" s="94">
        <v>0</v>
      </c>
      <c r="AS26" s="94">
        <v>0</v>
      </c>
      <c r="AT26" s="94">
        <v>0</v>
      </c>
      <c r="AU26" s="94">
        <v>0</v>
      </c>
      <c r="AV26" s="94">
        <v>0</v>
      </c>
      <c r="AW26" s="95">
        <v>0</v>
      </c>
      <c r="AY26" s="56">
        <f t="shared" si="0"/>
        <v>0</v>
      </c>
    </row>
    <row r="27" spans="1:51" ht="15">
      <c r="A27" s="52" t="s">
        <v>173</v>
      </c>
      <c r="B27" s="88" t="s">
        <v>176</v>
      </c>
      <c r="C27" s="93">
        <v>0</v>
      </c>
      <c r="D27" s="94">
        <v>0</v>
      </c>
      <c r="E27" s="94">
        <v>0</v>
      </c>
      <c r="F27" s="94">
        <v>0</v>
      </c>
      <c r="G27" s="94">
        <v>0</v>
      </c>
      <c r="H27" s="94">
        <v>0</v>
      </c>
      <c r="I27" s="94">
        <v>0</v>
      </c>
      <c r="J27" s="94">
        <v>0</v>
      </c>
      <c r="K27" s="94">
        <v>0</v>
      </c>
      <c r="L27" s="94">
        <v>0</v>
      </c>
      <c r="M27" s="94">
        <v>0</v>
      </c>
      <c r="N27" s="94">
        <v>0</v>
      </c>
      <c r="O27" s="94">
        <v>0</v>
      </c>
      <c r="P27" s="94">
        <v>0</v>
      </c>
      <c r="Q27" s="94">
        <v>0</v>
      </c>
      <c r="R27" s="94">
        <v>0</v>
      </c>
      <c r="S27" s="94">
        <v>0</v>
      </c>
      <c r="T27" s="94">
        <v>0</v>
      </c>
      <c r="U27" s="94">
        <v>0</v>
      </c>
      <c r="V27" s="94">
        <v>0</v>
      </c>
      <c r="W27" s="94">
        <v>0</v>
      </c>
      <c r="X27" s="94">
        <v>0</v>
      </c>
      <c r="Y27" s="94">
        <v>0</v>
      </c>
      <c r="Z27" s="94">
        <v>0</v>
      </c>
      <c r="AA27" s="94">
        <v>0</v>
      </c>
      <c r="AB27" s="94">
        <v>0</v>
      </c>
      <c r="AC27" s="94">
        <v>0</v>
      </c>
      <c r="AD27" s="94">
        <v>0</v>
      </c>
      <c r="AE27" s="94">
        <v>0</v>
      </c>
      <c r="AF27" s="94">
        <v>0</v>
      </c>
      <c r="AG27" s="94">
        <v>0</v>
      </c>
      <c r="AH27" s="94">
        <v>0</v>
      </c>
      <c r="AI27" s="94">
        <v>0</v>
      </c>
      <c r="AJ27" s="94">
        <v>0</v>
      </c>
      <c r="AK27" s="94">
        <v>0</v>
      </c>
      <c r="AL27" s="94">
        <v>0</v>
      </c>
      <c r="AM27" s="94">
        <v>0</v>
      </c>
      <c r="AN27" s="94">
        <v>0</v>
      </c>
      <c r="AO27" s="94">
        <v>0</v>
      </c>
      <c r="AP27" s="94">
        <v>0</v>
      </c>
      <c r="AQ27" s="94">
        <v>151174</v>
      </c>
      <c r="AR27" s="94">
        <v>252251</v>
      </c>
      <c r="AS27" s="94">
        <v>210326</v>
      </c>
      <c r="AT27" s="94">
        <v>239425</v>
      </c>
      <c r="AU27" s="94">
        <v>1128707</v>
      </c>
      <c r="AV27" s="94">
        <v>5525365</v>
      </c>
      <c r="AW27" s="95">
        <v>6963050</v>
      </c>
      <c r="AY27" s="56">
        <f t="shared" si="0"/>
        <v>6963050</v>
      </c>
    </row>
    <row r="28" spans="1:51" ht="15">
      <c r="A28" s="70" t="s">
        <v>173</v>
      </c>
      <c r="B28" s="71" t="s">
        <v>177</v>
      </c>
      <c r="C28" s="72">
        <v>71457026</v>
      </c>
      <c r="D28" s="73">
        <v>72720893</v>
      </c>
      <c r="E28" s="73">
        <v>81199128</v>
      </c>
      <c r="F28" s="73">
        <v>84453473</v>
      </c>
      <c r="G28" s="73">
        <v>93407107</v>
      </c>
      <c r="H28" s="73">
        <v>102565518</v>
      </c>
      <c r="I28" s="73">
        <v>87694729</v>
      </c>
      <c r="J28" s="73">
        <v>94037731</v>
      </c>
      <c r="K28" s="73">
        <v>86288155</v>
      </c>
      <c r="L28" s="73">
        <v>73164625</v>
      </c>
      <c r="M28" s="73">
        <v>90617651</v>
      </c>
      <c r="N28" s="73">
        <v>101039927</v>
      </c>
      <c r="O28" s="73">
        <v>97595427</v>
      </c>
      <c r="P28" s="73">
        <v>103613355</v>
      </c>
      <c r="Q28" s="73">
        <v>99181476</v>
      </c>
      <c r="R28" s="73">
        <v>125501650</v>
      </c>
      <c r="S28" s="73">
        <v>103782664</v>
      </c>
      <c r="T28" s="73">
        <v>79209736</v>
      </c>
      <c r="U28" s="73">
        <v>67538170</v>
      </c>
      <c r="V28" s="73">
        <v>68745599</v>
      </c>
      <c r="W28" s="73">
        <v>90373889</v>
      </c>
      <c r="X28" s="73">
        <v>84825573</v>
      </c>
      <c r="Y28" s="73">
        <v>100185314</v>
      </c>
      <c r="Z28" s="73">
        <v>101169344</v>
      </c>
      <c r="AA28" s="73">
        <v>121422160</v>
      </c>
      <c r="AB28" s="73">
        <v>147006547</v>
      </c>
      <c r="AC28" s="73">
        <v>122662776</v>
      </c>
      <c r="AD28" s="73">
        <v>154852339</v>
      </c>
      <c r="AE28" s="73">
        <v>133112842</v>
      </c>
      <c r="AF28" s="73">
        <v>146265588</v>
      </c>
      <c r="AG28" s="73">
        <v>144389148</v>
      </c>
      <c r="AH28" s="73">
        <v>159836256</v>
      </c>
      <c r="AI28" s="73">
        <v>216193020</v>
      </c>
      <c r="AJ28" s="73">
        <v>206571983</v>
      </c>
      <c r="AK28" s="73">
        <v>251608123</v>
      </c>
      <c r="AL28" s="73">
        <v>238951156</v>
      </c>
      <c r="AM28" s="73">
        <v>265123855</v>
      </c>
      <c r="AN28" s="73">
        <v>312559975</v>
      </c>
      <c r="AO28" s="73">
        <v>333436784</v>
      </c>
      <c r="AP28" s="73">
        <v>443681250</v>
      </c>
      <c r="AQ28" s="73">
        <v>568417489</v>
      </c>
      <c r="AR28" s="73">
        <v>586757511</v>
      </c>
      <c r="AS28" s="73">
        <v>558032892</v>
      </c>
      <c r="AT28" s="73">
        <v>508207211</v>
      </c>
      <c r="AU28" s="73">
        <v>478721324</v>
      </c>
      <c r="AV28" s="73">
        <v>516881156</v>
      </c>
      <c r="AW28" s="74">
        <v>490879729</v>
      </c>
      <c r="AY28" s="56">
        <f t="shared" si="0"/>
        <v>586757511</v>
      </c>
    </row>
    <row r="29" spans="1:51" ht="15">
      <c r="A29" s="52" t="s">
        <v>179</v>
      </c>
      <c r="B29" s="30" t="s">
        <v>146</v>
      </c>
      <c r="C29" s="53">
        <v>0</v>
      </c>
      <c r="D29" s="54">
        <v>42</v>
      </c>
      <c r="E29" s="54">
        <v>636</v>
      </c>
      <c r="F29" s="54">
        <v>127</v>
      </c>
      <c r="G29" s="54">
        <v>763</v>
      </c>
      <c r="H29" s="54">
        <v>0</v>
      </c>
      <c r="I29" s="54">
        <v>0</v>
      </c>
      <c r="J29" s="54">
        <v>0</v>
      </c>
      <c r="K29" s="54">
        <v>0</v>
      </c>
      <c r="L29" s="54">
        <v>0</v>
      </c>
      <c r="M29" s="54">
        <v>85</v>
      </c>
      <c r="N29" s="54">
        <v>5043946</v>
      </c>
      <c r="O29" s="54">
        <v>6218850</v>
      </c>
      <c r="P29" s="54">
        <v>4853401</v>
      </c>
      <c r="Q29" s="54">
        <v>1207510</v>
      </c>
      <c r="R29" s="54">
        <v>8791979</v>
      </c>
      <c r="S29" s="54">
        <v>30529442</v>
      </c>
      <c r="T29" s="54">
        <v>47393325</v>
      </c>
      <c r="U29" s="54">
        <v>34087097</v>
      </c>
      <c r="V29" s="54">
        <v>44213163</v>
      </c>
      <c r="W29" s="54">
        <v>35877949</v>
      </c>
      <c r="X29" s="54">
        <v>74234847</v>
      </c>
      <c r="Y29" s="54">
        <v>83439942</v>
      </c>
      <c r="Z29" s="54">
        <v>96770839</v>
      </c>
      <c r="AA29" s="54">
        <v>118256924</v>
      </c>
      <c r="AB29" s="54">
        <v>181644604</v>
      </c>
      <c r="AC29" s="54">
        <v>189009244</v>
      </c>
      <c r="AD29" s="54">
        <v>218421730</v>
      </c>
      <c r="AE29" s="54">
        <v>252323267</v>
      </c>
      <c r="AF29" s="54">
        <v>202957370</v>
      </c>
      <c r="AG29" s="54">
        <v>223787626</v>
      </c>
      <c r="AH29" s="54">
        <v>302271338</v>
      </c>
      <c r="AI29" s="54">
        <v>356384473</v>
      </c>
      <c r="AJ29" s="54">
        <v>473626553</v>
      </c>
      <c r="AK29" s="54">
        <v>575964575</v>
      </c>
      <c r="AL29" s="54">
        <v>513159592</v>
      </c>
      <c r="AM29" s="54">
        <v>590239070</v>
      </c>
      <c r="AN29" s="54">
        <v>574098977</v>
      </c>
      <c r="AO29" s="54">
        <v>642420559</v>
      </c>
      <c r="AP29" s="54">
        <v>585939629</v>
      </c>
      <c r="AQ29" s="54">
        <v>497478954</v>
      </c>
      <c r="AR29" s="54">
        <v>404314810</v>
      </c>
      <c r="AS29" s="54">
        <v>372225329</v>
      </c>
      <c r="AT29" s="54">
        <v>367920169</v>
      </c>
      <c r="AU29" s="54">
        <v>331207285</v>
      </c>
      <c r="AV29" s="54">
        <v>296672224</v>
      </c>
      <c r="AW29" s="55">
        <v>253531053</v>
      </c>
      <c r="AY29" s="56">
        <f t="shared" si="0"/>
        <v>642420559</v>
      </c>
    </row>
    <row r="30" spans="1:51" ht="15">
      <c r="A30" s="52" t="s">
        <v>179</v>
      </c>
      <c r="B30" s="30" t="s">
        <v>174</v>
      </c>
      <c r="C30" s="53">
        <v>0</v>
      </c>
      <c r="D30" s="54">
        <v>0</v>
      </c>
      <c r="E30" s="54">
        <v>0</v>
      </c>
      <c r="F30" s="54">
        <v>0</v>
      </c>
      <c r="G30" s="54">
        <v>0</v>
      </c>
      <c r="H30" s="54">
        <v>0</v>
      </c>
      <c r="I30" s="54">
        <v>0</v>
      </c>
      <c r="J30" s="54">
        <v>0</v>
      </c>
      <c r="K30" s="54">
        <v>4468173</v>
      </c>
      <c r="L30" s="54">
        <v>9057693</v>
      </c>
      <c r="M30" s="54">
        <v>10931523</v>
      </c>
      <c r="N30" s="54">
        <v>12719283</v>
      </c>
      <c r="O30" s="54">
        <v>14368474</v>
      </c>
      <c r="P30" s="54">
        <v>18342896</v>
      </c>
      <c r="Q30" s="54">
        <v>16401757</v>
      </c>
      <c r="R30" s="54">
        <v>1253250</v>
      </c>
      <c r="S30" s="54">
        <v>0</v>
      </c>
      <c r="T30" s="54">
        <v>0</v>
      </c>
      <c r="U30" s="54">
        <v>1</v>
      </c>
      <c r="V30" s="54">
        <v>2148</v>
      </c>
      <c r="W30" s="54">
        <v>1275</v>
      </c>
      <c r="X30" s="54">
        <v>1161216</v>
      </c>
      <c r="Y30" s="54">
        <v>1153734</v>
      </c>
      <c r="Z30" s="54">
        <v>919171</v>
      </c>
      <c r="AA30" s="54">
        <v>559679</v>
      </c>
      <c r="AB30" s="54">
        <v>655792</v>
      </c>
      <c r="AC30" s="54">
        <v>837998</v>
      </c>
      <c r="AD30" s="54">
        <v>7749913</v>
      </c>
      <c r="AE30" s="54">
        <v>8386889</v>
      </c>
      <c r="AF30" s="54">
        <v>7885326</v>
      </c>
      <c r="AG30" s="54">
        <v>697385</v>
      </c>
      <c r="AH30" s="54">
        <v>1701738</v>
      </c>
      <c r="AI30" s="54">
        <v>1024424</v>
      </c>
      <c r="AJ30" s="54">
        <v>1327292</v>
      </c>
      <c r="AK30" s="54">
        <v>157831</v>
      </c>
      <c r="AL30" s="54">
        <v>1163642</v>
      </c>
      <c r="AM30" s="54">
        <v>2251528</v>
      </c>
      <c r="AN30" s="54">
        <v>1409702</v>
      </c>
      <c r="AO30" s="54">
        <v>179932</v>
      </c>
      <c r="AP30" s="54">
        <v>155886</v>
      </c>
      <c r="AQ30" s="54">
        <v>3538632</v>
      </c>
      <c r="AR30" s="54">
        <v>2755297</v>
      </c>
      <c r="AS30" s="54">
        <v>6295023</v>
      </c>
      <c r="AT30" s="54">
        <v>4346348</v>
      </c>
      <c r="AU30" s="54">
        <v>2791747</v>
      </c>
      <c r="AV30" s="54">
        <v>480959</v>
      </c>
      <c r="AW30" s="55">
        <v>1011221</v>
      </c>
      <c r="AY30" s="56">
        <f t="shared" si="0"/>
        <v>6295023</v>
      </c>
    </row>
    <row r="31" spans="1:51" ht="15">
      <c r="A31" s="52" t="s">
        <v>179</v>
      </c>
      <c r="B31" s="30" t="s">
        <v>102</v>
      </c>
      <c r="C31" s="53">
        <v>0</v>
      </c>
      <c r="D31" s="54">
        <v>0</v>
      </c>
      <c r="E31" s="54">
        <v>0</v>
      </c>
      <c r="F31" s="54">
        <v>0</v>
      </c>
      <c r="G31" s="54">
        <v>0</v>
      </c>
      <c r="H31" s="54">
        <v>0</v>
      </c>
      <c r="I31" s="54">
        <v>0</v>
      </c>
      <c r="J31" s="54">
        <v>0</v>
      </c>
      <c r="K31" s="54">
        <v>0</v>
      </c>
      <c r="L31" s="54">
        <v>0</v>
      </c>
      <c r="M31" s="54">
        <v>0</v>
      </c>
      <c r="N31" s="54">
        <v>0</v>
      </c>
      <c r="O31" s="54">
        <v>0</v>
      </c>
      <c r="P31" s="54">
        <v>0</v>
      </c>
      <c r="Q31" s="54">
        <v>0</v>
      </c>
      <c r="R31" s="54">
        <v>0</v>
      </c>
      <c r="S31" s="54">
        <v>0</v>
      </c>
      <c r="T31" s="54">
        <v>0</v>
      </c>
      <c r="U31" s="54">
        <v>0</v>
      </c>
      <c r="V31" s="54">
        <v>0</v>
      </c>
      <c r="W31" s="54">
        <v>0</v>
      </c>
      <c r="X31" s="54">
        <v>0</v>
      </c>
      <c r="Y31" s="54">
        <v>0</v>
      </c>
      <c r="Z31" s="54">
        <v>0</v>
      </c>
      <c r="AA31" s="54">
        <v>0</v>
      </c>
      <c r="AB31" s="54">
        <v>0</v>
      </c>
      <c r="AC31" s="54">
        <v>0</v>
      </c>
      <c r="AD31" s="54">
        <v>0</v>
      </c>
      <c r="AE31" s="54">
        <v>0</v>
      </c>
      <c r="AF31" s="54">
        <v>0</v>
      </c>
      <c r="AG31" s="54">
        <v>0</v>
      </c>
      <c r="AH31" s="54">
        <v>0</v>
      </c>
      <c r="AI31" s="54">
        <v>0</v>
      </c>
      <c r="AJ31" s="54">
        <v>0</v>
      </c>
      <c r="AK31" s="54">
        <v>0</v>
      </c>
      <c r="AL31" s="54">
        <v>0</v>
      </c>
      <c r="AM31" s="54">
        <v>0</v>
      </c>
      <c r="AN31" s="54">
        <v>0</v>
      </c>
      <c r="AO31" s="54">
        <v>0</v>
      </c>
      <c r="AP31" s="54">
        <v>0</v>
      </c>
      <c r="AQ31" s="54">
        <v>0</v>
      </c>
      <c r="AR31" s="54">
        <v>0</v>
      </c>
      <c r="AS31" s="54">
        <v>0</v>
      </c>
      <c r="AT31" s="54">
        <v>0</v>
      </c>
      <c r="AU31" s="54">
        <v>0</v>
      </c>
      <c r="AV31" s="54">
        <v>0</v>
      </c>
      <c r="AW31" s="55">
        <v>0</v>
      </c>
      <c r="AY31" s="56">
        <f t="shared" si="0"/>
        <v>0</v>
      </c>
    </row>
    <row r="32" spans="1:51" ht="15">
      <c r="A32" s="52" t="s">
        <v>179</v>
      </c>
      <c r="B32" s="30" t="s">
        <v>79</v>
      </c>
      <c r="C32" s="53">
        <v>485295</v>
      </c>
      <c r="D32" s="54">
        <v>796470</v>
      </c>
      <c r="E32" s="54">
        <v>503827</v>
      </c>
      <c r="F32" s="54">
        <v>344644</v>
      </c>
      <c r="G32" s="54">
        <v>410013</v>
      </c>
      <c r="H32" s="54">
        <v>153190</v>
      </c>
      <c r="I32" s="54">
        <v>222847</v>
      </c>
      <c r="J32" s="54">
        <v>476812</v>
      </c>
      <c r="K32" s="54">
        <v>212844</v>
      </c>
      <c r="L32" s="54">
        <v>462014</v>
      </c>
      <c r="M32" s="54">
        <v>99391</v>
      </c>
      <c r="N32" s="54">
        <v>976075</v>
      </c>
      <c r="O32" s="54">
        <v>1015292</v>
      </c>
      <c r="P32" s="54">
        <v>386222</v>
      </c>
      <c r="Q32" s="54">
        <v>573963</v>
      </c>
      <c r="R32" s="54">
        <v>345650</v>
      </c>
      <c r="S32" s="54">
        <v>708786</v>
      </c>
      <c r="T32" s="54">
        <v>704434</v>
      </c>
      <c r="U32" s="54">
        <v>1072524</v>
      </c>
      <c r="V32" s="54">
        <v>1386163</v>
      </c>
      <c r="W32" s="54">
        <v>2109300</v>
      </c>
      <c r="X32" s="54">
        <v>2805697</v>
      </c>
      <c r="Y32" s="54">
        <v>2959922</v>
      </c>
      <c r="Z32" s="54">
        <v>2095306</v>
      </c>
      <c r="AA32" s="54">
        <v>3043077</v>
      </c>
      <c r="AB32" s="54">
        <v>3027047</v>
      </c>
      <c r="AC32" s="54">
        <v>2847025</v>
      </c>
      <c r="AD32" s="54">
        <v>2049161</v>
      </c>
      <c r="AE32" s="54">
        <v>1664050</v>
      </c>
      <c r="AF32" s="54">
        <v>1682521</v>
      </c>
      <c r="AG32" s="54">
        <v>3181344</v>
      </c>
      <c r="AH32" s="54">
        <v>5064160</v>
      </c>
      <c r="AI32" s="54">
        <v>3447077</v>
      </c>
      <c r="AJ32" s="54">
        <v>10095438</v>
      </c>
      <c r="AK32" s="54">
        <v>7089280</v>
      </c>
      <c r="AL32" s="54">
        <v>6423808</v>
      </c>
      <c r="AM32" s="54">
        <v>5485478</v>
      </c>
      <c r="AN32" s="54">
        <v>4139586</v>
      </c>
      <c r="AO32" s="54">
        <v>4702534</v>
      </c>
      <c r="AP32" s="54">
        <v>3056700</v>
      </c>
      <c r="AQ32" s="54">
        <v>3984888</v>
      </c>
      <c r="AR32" s="54">
        <v>4337616</v>
      </c>
      <c r="AS32" s="54">
        <v>3481882</v>
      </c>
      <c r="AT32" s="54">
        <v>4480015</v>
      </c>
      <c r="AU32" s="54">
        <v>5805714</v>
      </c>
      <c r="AV32" s="54">
        <v>4390092</v>
      </c>
      <c r="AW32" s="55">
        <v>6381304</v>
      </c>
      <c r="AY32" s="56">
        <f t="shared" si="0"/>
        <v>7089280</v>
      </c>
    </row>
    <row r="33" spans="1:51" ht="15">
      <c r="A33" s="52" t="s">
        <v>179</v>
      </c>
      <c r="B33" s="30" t="s">
        <v>104</v>
      </c>
      <c r="C33" s="53">
        <v>3915435</v>
      </c>
      <c r="D33" s="54">
        <v>846162</v>
      </c>
      <c r="E33" s="54">
        <v>1836613</v>
      </c>
      <c r="F33" s="54">
        <v>1219000</v>
      </c>
      <c r="G33" s="54">
        <v>5505752</v>
      </c>
      <c r="H33" s="54">
        <v>2152815</v>
      </c>
      <c r="I33" s="54">
        <v>4626834</v>
      </c>
      <c r="J33" s="54">
        <v>8043454</v>
      </c>
      <c r="K33" s="54">
        <v>5432889</v>
      </c>
      <c r="L33" s="54">
        <v>4161602</v>
      </c>
      <c r="M33" s="54">
        <v>2424995</v>
      </c>
      <c r="N33" s="54">
        <v>3173760</v>
      </c>
      <c r="O33" s="54">
        <v>3032777</v>
      </c>
      <c r="P33" s="54">
        <v>1769537</v>
      </c>
      <c r="Q33" s="54">
        <v>2638275</v>
      </c>
      <c r="R33" s="54">
        <v>3067434</v>
      </c>
      <c r="S33" s="54">
        <v>4281148</v>
      </c>
      <c r="T33" s="54">
        <v>3591675</v>
      </c>
      <c r="U33" s="54">
        <v>6175917</v>
      </c>
      <c r="V33" s="54">
        <v>12108552</v>
      </c>
      <c r="W33" s="54">
        <v>13378524</v>
      </c>
      <c r="X33" s="54">
        <v>13142882</v>
      </c>
      <c r="Y33" s="54">
        <v>10900130</v>
      </c>
      <c r="Z33" s="54">
        <v>14161616</v>
      </c>
      <c r="AA33" s="54">
        <v>15917518</v>
      </c>
      <c r="AB33" s="54">
        <v>15337304</v>
      </c>
      <c r="AC33" s="54">
        <v>20819794</v>
      </c>
      <c r="AD33" s="54">
        <v>16584620</v>
      </c>
      <c r="AE33" s="54">
        <v>17458513</v>
      </c>
      <c r="AF33" s="54">
        <v>20924810</v>
      </c>
      <c r="AG33" s="54">
        <v>21503660</v>
      </c>
      <c r="AH33" s="54">
        <v>18215628</v>
      </c>
      <c r="AI33" s="54">
        <v>15296311</v>
      </c>
      <c r="AJ33" s="54">
        <v>13483912</v>
      </c>
      <c r="AK33" s="54">
        <v>12059690</v>
      </c>
      <c r="AL33" s="54">
        <v>10953969</v>
      </c>
      <c r="AM33" s="54">
        <v>10640783</v>
      </c>
      <c r="AN33" s="54">
        <v>10857037</v>
      </c>
      <c r="AO33" s="54">
        <v>11317563</v>
      </c>
      <c r="AP33" s="54">
        <v>8855189</v>
      </c>
      <c r="AQ33" s="54">
        <v>11638972</v>
      </c>
      <c r="AR33" s="54">
        <v>12206684</v>
      </c>
      <c r="AS33" s="54">
        <v>8738279</v>
      </c>
      <c r="AT33" s="54">
        <v>8603788</v>
      </c>
      <c r="AU33" s="54">
        <v>8665999</v>
      </c>
      <c r="AV33" s="54">
        <v>9162081</v>
      </c>
      <c r="AW33" s="55">
        <v>20765080</v>
      </c>
      <c r="AY33" s="56">
        <f t="shared" si="0"/>
        <v>20765080</v>
      </c>
    </row>
    <row r="34" spans="1:51" ht="15">
      <c r="A34" s="52" t="s">
        <v>179</v>
      </c>
      <c r="B34" s="30" t="s">
        <v>81</v>
      </c>
      <c r="C34" s="53">
        <v>10372488</v>
      </c>
      <c r="D34" s="54">
        <v>12099264</v>
      </c>
      <c r="E34" s="54">
        <v>12125277</v>
      </c>
      <c r="F34" s="54">
        <v>13269196</v>
      </c>
      <c r="G34" s="54">
        <v>17225913</v>
      </c>
      <c r="H34" s="54">
        <v>23988118</v>
      </c>
      <c r="I34" s="54">
        <v>21755872</v>
      </c>
      <c r="J34" s="54">
        <v>23512489</v>
      </c>
      <c r="K34" s="54">
        <v>24293532</v>
      </c>
      <c r="L34" s="54">
        <v>25066266</v>
      </c>
      <c r="M34" s="54">
        <v>24461486</v>
      </c>
      <c r="N34" s="54">
        <v>21475863</v>
      </c>
      <c r="O34" s="54">
        <v>22155333</v>
      </c>
      <c r="P34" s="54">
        <v>24264126</v>
      </c>
      <c r="Q34" s="54">
        <v>15840003</v>
      </c>
      <c r="R34" s="54">
        <v>17134569</v>
      </c>
      <c r="S34" s="54">
        <v>11942449</v>
      </c>
      <c r="T34" s="54">
        <v>14543736</v>
      </c>
      <c r="U34" s="54">
        <v>17697716</v>
      </c>
      <c r="V34" s="54">
        <v>16055428</v>
      </c>
      <c r="W34" s="54">
        <v>17967949</v>
      </c>
      <c r="X34" s="54">
        <v>20206103</v>
      </c>
      <c r="Y34" s="54">
        <v>21576175</v>
      </c>
      <c r="Z34" s="54">
        <v>22325759</v>
      </c>
      <c r="AA34" s="54">
        <v>16140332</v>
      </c>
      <c r="AB34" s="54">
        <v>17455509</v>
      </c>
      <c r="AC34" s="54">
        <v>14519279</v>
      </c>
      <c r="AD34" s="54">
        <v>19302485</v>
      </c>
      <c r="AE34" s="54">
        <v>16802662</v>
      </c>
      <c r="AF34" s="54">
        <v>22046700</v>
      </c>
      <c r="AG34" s="54">
        <v>53271236</v>
      </c>
      <c r="AH34" s="54">
        <v>48636821</v>
      </c>
      <c r="AI34" s="54">
        <v>28086275</v>
      </c>
      <c r="AJ34" s="54">
        <v>34201719</v>
      </c>
      <c r="AK34" s="54">
        <v>48820968</v>
      </c>
      <c r="AL34" s="54">
        <v>43289826</v>
      </c>
      <c r="AM34" s="54">
        <v>39113594</v>
      </c>
      <c r="AN34" s="54">
        <v>36267263</v>
      </c>
      <c r="AO34" s="54">
        <v>35719847</v>
      </c>
      <c r="AP34" s="54">
        <v>37434896</v>
      </c>
      <c r="AQ34" s="54">
        <v>37758929</v>
      </c>
      <c r="AR34" s="54">
        <v>39483291</v>
      </c>
      <c r="AS34" s="54">
        <v>40032811</v>
      </c>
      <c r="AT34" s="54">
        <v>41795268</v>
      </c>
      <c r="AU34" s="54">
        <v>34108807</v>
      </c>
      <c r="AV34" s="54">
        <v>33146198</v>
      </c>
      <c r="AW34" s="55">
        <v>42409131</v>
      </c>
      <c r="AY34" s="56">
        <f t="shared" si="0"/>
        <v>48820968</v>
      </c>
    </row>
    <row r="35" spans="1:51" ht="15">
      <c r="A35" s="52" t="s">
        <v>179</v>
      </c>
      <c r="B35" s="30" t="s">
        <v>100</v>
      </c>
      <c r="C35" s="53">
        <v>1216085</v>
      </c>
      <c r="D35" s="54">
        <v>716271</v>
      </c>
      <c r="E35" s="54">
        <v>566326</v>
      </c>
      <c r="F35" s="54">
        <v>905931</v>
      </c>
      <c r="G35" s="54">
        <v>831242</v>
      </c>
      <c r="H35" s="54">
        <v>1032951</v>
      </c>
      <c r="I35" s="54">
        <v>1057441</v>
      </c>
      <c r="J35" s="54">
        <v>1634034</v>
      </c>
      <c r="K35" s="54">
        <v>1428341</v>
      </c>
      <c r="L35" s="54">
        <v>1013298</v>
      </c>
      <c r="M35" s="54">
        <v>1666274</v>
      </c>
      <c r="N35" s="54">
        <v>786956</v>
      </c>
      <c r="O35" s="54">
        <v>339127</v>
      </c>
      <c r="P35" s="54">
        <v>911239</v>
      </c>
      <c r="Q35" s="54">
        <v>106619</v>
      </c>
      <c r="R35" s="54">
        <v>48994</v>
      </c>
      <c r="S35" s="54">
        <v>124676</v>
      </c>
      <c r="T35" s="54">
        <v>644425</v>
      </c>
      <c r="U35" s="54">
        <v>3092461</v>
      </c>
      <c r="V35" s="54">
        <v>4912570</v>
      </c>
      <c r="W35" s="54">
        <v>3773383</v>
      </c>
      <c r="X35" s="54">
        <v>299788</v>
      </c>
      <c r="Y35" s="54">
        <v>2860866</v>
      </c>
      <c r="Z35" s="54">
        <v>2882644</v>
      </c>
      <c r="AA35" s="54">
        <v>2077061</v>
      </c>
      <c r="AB35" s="54">
        <v>2356313</v>
      </c>
      <c r="AC35" s="54">
        <v>3969004</v>
      </c>
      <c r="AD35" s="54">
        <v>3741044</v>
      </c>
      <c r="AE35" s="54">
        <v>2547977</v>
      </c>
      <c r="AF35" s="54">
        <v>12309074</v>
      </c>
      <c r="AG35" s="54">
        <v>16717962</v>
      </c>
      <c r="AH35" s="54">
        <v>16562537</v>
      </c>
      <c r="AI35" s="54">
        <v>12136193</v>
      </c>
      <c r="AJ35" s="54">
        <v>27804502</v>
      </c>
      <c r="AK35" s="54">
        <v>26346961</v>
      </c>
      <c r="AL35" s="54">
        <v>25658098</v>
      </c>
      <c r="AM35" s="54">
        <v>24882344</v>
      </c>
      <c r="AN35" s="54">
        <v>27207992</v>
      </c>
      <c r="AO35" s="54">
        <v>29056586</v>
      </c>
      <c r="AP35" s="54">
        <v>41893657</v>
      </c>
      <c r="AQ35" s="54">
        <v>30200387</v>
      </c>
      <c r="AR35" s="54">
        <v>45188997</v>
      </c>
      <c r="AS35" s="54">
        <v>25469945</v>
      </c>
      <c r="AT35" s="54">
        <v>32019391</v>
      </c>
      <c r="AU35" s="54">
        <v>20554460</v>
      </c>
      <c r="AV35" s="54">
        <v>17053417</v>
      </c>
      <c r="AW35" s="55">
        <v>12638723</v>
      </c>
      <c r="AY35" s="56">
        <f t="shared" si="0"/>
        <v>45188997</v>
      </c>
    </row>
    <row r="36" spans="1:51" ht="15">
      <c r="A36" s="52" t="s">
        <v>179</v>
      </c>
      <c r="B36" s="89" t="s">
        <v>73</v>
      </c>
      <c r="C36" s="90">
        <v>12223174</v>
      </c>
      <c r="D36" s="91">
        <v>13434231</v>
      </c>
      <c r="E36" s="91">
        <v>10330454</v>
      </c>
      <c r="F36" s="91">
        <v>10460219</v>
      </c>
      <c r="G36" s="91">
        <v>14303134</v>
      </c>
      <c r="H36" s="91">
        <v>18441831</v>
      </c>
      <c r="I36" s="91">
        <v>23522661</v>
      </c>
      <c r="J36" s="91">
        <v>26568153</v>
      </c>
      <c r="K36" s="91">
        <v>25899770</v>
      </c>
      <c r="L36" s="91">
        <v>41578303</v>
      </c>
      <c r="M36" s="91">
        <v>47026577</v>
      </c>
      <c r="N36" s="91">
        <v>38476203</v>
      </c>
      <c r="O36" s="91">
        <v>35901332</v>
      </c>
      <c r="P36" s="91">
        <v>39156803</v>
      </c>
      <c r="Q36" s="91">
        <v>25908817</v>
      </c>
      <c r="R36" s="91">
        <v>28258593</v>
      </c>
      <c r="S36" s="91">
        <v>20644062</v>
      </c>
      <c r="T36" s="91">
        <v>29147039</v>
      </c>
      <c r="U36" s="91">
        <v>30242272</v>
      </c>
      <c r="V36" s="91">
        <v>29371139</v>
      </c>
      <c r="W36" s="91">
        <v>29367557</v>
      </c>
      <c r="X36" s="91">
        <v>25381235</v>
      </c>
      <c r="Y36" s="91">
        <v>26716086</v>
      </c>
      <c r="Z36" s="91">
        <v>31516710</v>
      </c>
      <c r="AA36" s="91">
        <v>31249682</v>
      </c>
      <c r="AB36" s="91">
        <v>37222119</v>
      </c>
      <c r="AC36" s="91">
        <v>48537109</v>
      </c>
      <c r="AD36" s="91">
        <v>50836014</v>
      </c>
      <c r="AE36" s="91">
        <v>53695385</v>
      </c>
      <c r="AF36" s="91">
        <v>53958051</v>
      </c>
      <c r="AG36" s="91">
        <v>47278869</v>
      </c>
      <c r="AH36" s="91">
        <v>38979594</v>
      </c>
      <c r="AI36" s="91">
        <v>37378273</v>
      </c>
      <c r="AJ36" s="91">
        <v>36379300</v>
      </c>
      <c r="AK36" s="91">
        <v>35684531</v>
      </c>
      <c r="AL36" s="91">
        <v>28452271</v>
      </c>
      <c r="AM36" s="91">
        <v>27235325</v>
      </c>
      <c r="AN36" s="91">
        <v>36102238</v>
      </c>
      <c r="AO36" s="91">
        <v>32075546</v>
      </c>
      <c r="AP36" s="91">
        <v>30791141</v>
      </c>
      <c r="AQ36" s="91">
        <v>49830336</v>
      </c>
      <c r="AR36" s="91">
        <v>31748428</v>
      </c>
      <c r="AS36" s="91">
        <v>31958951</v>
      </c>
      <c r="AT36" s="91">
        <v>34350058</v>
      </c>
      <c r="AU36" s="91">
        <v>32921067</v>
      </c>
      <c r="AV36" s="91">
        <v>39998435</v>
      </c>
      <c r="AW36" s="92">
        <v>46109256</v>
      </c>
      <c r="AY36" s="56">
        <f t="shared" si="0"/>
        <v>49830336</v>
      </c>
    </row>
    <row r="37" spans="1:51" ht="15">
      <c r="A37" s="52" t="s">
        <v>179</v>
      </c>
      <c r="B37" s="89" t="s">
        <v>51</v>
      </c>
      <c r="C37" s="90">
        <v>5713473</v>
      </c>
      <c r="D37" s="91">
        <v>6420884</v>
      </c>
      <c r="E37" s="91">
        <v>5809805</v>
      </c>
      <c r="F37" s="91">
        <v>8909355</v>
      </c>
      <c r="G37" s="91">
        <v>7454822</v>
      </c>
      <c r="H37" s="91">
        <v>10852717</v>
      </c>
      <c r="I37" s="91">
        <v>12057370</v>
      </c>
      <c r="J37" s="91">
        <v>16637286</v>
      </c>
      <c r="K37" s="91">
        <v>17793261</v>
      </c>
      <c r="L37" s="91">
        <v>4625275</v>
      </c>
      <c r="M37" s="91">
        <v>5150176</v>
      </c>
      <c r="N37" s="91">
        <v>4483627</v>
      </c>
      <c r="O37" s="91">
        <v>5224874</v>
      </c>
      <c r="P37" s="91">
        <v>5994817</v>
      </c>
      <c r="Q37" s="91">
        <v>4988518</v>
      </c>
      <c r="R37" s="91">
        <v>6153459</v>
      </c>
      <c r="S37" s="91">
        <v>5339118</v>
      </c>
      <c r="T37" s="91">
        <v>8733865</v>
      </c>
      <c r="U37" s="91">
        <v>10702733</v>
      </c>
      <c r="V37" s="91">
        <v>9489775</v>
      </c>
      <c r="W37" s="91">
        <v>11046462</v>
      </c>
      <c r="X37" s="91">
        <v>9868640</v>
      </c>
      <c r="Y37" s="91">
        <v>11377163</v>
      </c>
      <c r="Z37" s="91">
        <v>15438674</v>
      </c>
      <c r="AA37" s="91">
        <v>17534666</v>
      </c>
      <c r="AB37" s="91">
        <v>20533403</v>
      </c>
      <c r="AC37" s="91">
        <v>26864493</v>
      </c>
      <c r="AD37" s="91">
        <v>28546643</v>
      </c>
      <c r="AE37" s="91">
        <v>33631199</v>
      </c>
      <c r="AF37" s="91">
        <v>16848569</v>
      </c>
      <c r="AG37" s="91">
        <v>17195948</v>
      </c>
      <c r="AH37" s="91">
        <v>11725517</v>
      </c>
      <c r="AI37" s="91">
        <v>5261970</v>
      </c>
      <c r="AJ37" s="91">
        <v>10800604</v>
      </c>
      <c r="AK37" s="91">
        <v>18782911</v>
      </c>
      <c r="AL37" s="91">
        <v>18229716</v>
      </c>
      <c r="AM37" s="91">
        <v>14586320</v>
      </c>
      <c r="AN37" s="91">
        <v>19350884</v>
      </c>
      <c r="AO37" s="91">
        <v>18938223</v>
      </c>
      <c r="AP37" s="91">
        <v>18572086</v>
      </c>
      <c r="AQ37" s="91">
        <v>26536230</v>
      </c>
      <c r="AR37" s="91">
        <v>30044881</v>
      </c>
      <c r="AS37" s="91">
        <v>24374944</v>
      </c>
      <c r="AT37" s="91">
        <v>39197258</v>
      </c>
      <c r="AU37" s="91">
        <v>25180340</v>
      </c>
      <c r="AV37" s="91">
        <v>25884963</v>
      </c>
      <c r="AW37" s="92">
        <v>25655285</v>
      </c>
      <c r="AY37" s="56">
        <f t="shared" si="0"/>
        <v>39197258</v>
      </c>
    </row>
    <row r="38" spans="1:51" ht="15">
      <c r="A38" s="52" t="s">
        <v>179</v>
      </c>
      <c r="B38" s="88" t="s">
        <v>103</v>
      </c>
      <c r="C38" s="93">
        <v>16496632</v>
      </c>
      <c r="D38" s="94">
        <v>26161381</v>
      </c>
      <c r="E38" s="94">
        <v>30470178</v>
      </c>
      <c r="F38" s="94">
        <v>45559005</v>
      </c>
      <c r="G38" s="94">
        <v>46580380</v>
      </c>
      <c r="H38" s="94">
        <v>54587998</v>
      </c>
      <c r="I38" s="94">
        <v>59721097</v>
      </c>
      <c r="J38" s="94">
        <v>66689802</v>
      </c>
      <c r="K38" s="94">
        <v>40293186</v>
      </c>
      <c r="L38" s="94">
        <v>30627341</v>
      </c>
      <c r="M38" s="94">
        <v>30668225</v>
      </c>
      <c r="N38" s="94">
        <v>20298701</v>
      </c>
      <c r="O38" s="94">
        <v>18932248</v>
      </c>
      <c r="P38" s="94">
        <v>18161133</v>
      </c>
      <c r="Q38" s="94">
        <v>16242335</v>
      </c>
      <c r="R38" s="94">
        <v>14690566</v>
      </c>
      <c r="S38" s="94">
        <v>21257452</v>
      </c>
      <c r="T38" s="94">
        <v>32334429</v>
      </c>
      <c r="U38" s="94">
        <v>44704109</v>
      </c>
      <c r="V38" s="94">
        <v>37516363</v>
      </c>
      <c r="W38" s="94">
        <v>51532084</v>
      </c>
      <c r="X38" s="94">
        <v>52601999</v>
      </c>
      <c r="Y38" s="94">
        <v>79066721</v>
      </c>
      <c r="Z38" s="94">
        <v>79929607</v>
      </c>
      <c r="AA38" s="94">
        <v>75832760</v>
      </c>
      <c r="AB38" s="94">
        <v>75395555</v>
      </c>
      <c r="AC38" s="94">
        <v>91337961</v>
      </c>
      <c r="AD38" s="94">
        <v>88874529</v>
      </c>
      <c r="AE38" s="94">
        <v>86717696</v>
      </c>
      <c r="AF38" s="94">
        <v>74105560</v>
      </c>
      <c r="AG38" s="94">
        <v>68945438</v>
      </c>
      <c r="AH38" s="94">
        <v>48648328</v>
      </c>
      <c r="AI38" s="94">
        <v>41963587</v>
      </c>
      <c r="AJ38" s="94">
        <v>61431920</v>
      </c>
      <c r="AK38" s="94">
        <v>55367063</v>
      </c>
      <c r="AL38" s="94">
        <v>45373236</v>
      </c>
      <c r="AM38" s="94">
        <v>58621301</v>
      </c>
      <c r="AN38" s="94">
        <v>86746374</v>
      </c>
      <c r="AO38" s="94">
        <v>123816354</v>
      </c>
      <c r="AP38" s="94">
        <v>125078469</v>
      </c>
      <c r="AQ38" s="94">
        <v>126875996</v>
      </c>
      <c r="AR38" s="94">
        <v>137445612</v>
      </c>
      <c r="AS38" s="94">
        <v>166481069</v>
      </c>
      <c r="AT38" s="94">
        <v>122439323</v>
      </c>
      <c r="AU38" s="94">
        <v>107091131</v>
      </c>
      <c r="AV38" s="94">
        <v>95167031</v>
      </c>
      <c r="AW38" s="95">
        <v>128988988</v>
      </c>
      <c r="AY38" s="56">
        <f t="shared" si="0"/>
        <v>166481069</v>
      </c>
    </row>
    <row r="39" spans="1:51" ht="15">
      <c r="A39" s="52" t="s">
        <v>179</v>
      </c>
      <c r="B39" s="88" t="s">
        <v>175</v>
      </c>
      <c r="C39" s="93">
        <v>0</v>
      </c>
      <c r="D39" s="94">
        <v>0</v>
      </c>
      <c r="E39" s="94">
        <v>0</v>
      </c>
      <c r="F39" s="94">
        <v>0</v>
      </c>
      <c r="G39" s="94">
        <v>0</v>
      </c>
      <c r="H39" s="94">
        <v>0</v>
      </c>
      <c r="I39" s="94">
        <v>0</v>
      </c>
      <c r="J39" s="94">
        <v>0</v>
      </c>
      <c r="K39" s="94">
        <v>0</v>
      </c>
      <c r="L39" s="94">
        <v>0</v>
      </c>
      <c r="M39" s="94">
        <v>0</v>
      </c>
      <c r="N39" s="94">
        <v>0</v>
      </c>
      <c r="O39" s="94">
        <v>0</v>
      </c>
      <c r="P39" s="94">
        <v>0</v>
      </c>
      <c r="Q39" s="94">
        <v>0</v>
      </c>
      <c r="R39" s="94">
        <v>0</v>
      </c>
      <c r="S39" s="94">
        <v>0</v>
      </c>
      <c r="T39" s="94">
        <v>0</v>
      </c>
      <c r="U39" s="94">
        <v>0</v>
      </c>
      <c r="V39" s="94">
        <v>0</v>
      </c>
      <c r="W39" s="94">
        <v>0</v>
      </c>
      <c r="X39" s="94">
        <v>0</v>
      </c>
      <c r="Y39" s="94">
        <v>0</v>
      </c>
      <c r="Z39" s="94">
        <v>0</v>
      </c>
      <c r="AA39" s="94">
        <v>0</v>
      </c>
      <c r="AB39" s="94">
        <v>0</v>
      </c>
      <c r="AC39" s="94">
        <v>0</v>
      </c>
      <c r="AD39" s="94">
        <v>0</v>
      </c>
      <c r="AE39" s="94">
        <v>0</v>
      </c>
      <c r="AF39" s="94">
        <v>0</v>
      </c>
      <c r="AG39" s="94">
        <v>0</v>
      </c>
      <c r="AH39" s="94">
        <v>0</v>
      </c>
      <c r="AI39" s="94">
        <v>0</v>
      </c>
      <c r="AJ39" s="94">
        <v>0</v>
      </c>
      <c r="AK39" s="94">
        <v>0</v>
      </c>
      <c r="AL39" s="94">
        <v>0</v>
      </c>
      <c r="AM39" s="94">
        <v>0</v>
      </c>
      <c r="AN39" s="94">
        <v>0</v>
      </c>
      <c r="AO39" s="94">
        <v>0</v>
      </c>
      <c r="AP39" s="94">
        <v>0</v>
      </c>
      <c r="AQ39" s="94">
        <v>0</v>
      </c>
      <c r="AR39" s="94">
        <v>0</v>
      </c>
      <c r="AS39" s="94">
        <v>0</v>
      </c>
      <c r="AT39" s="94">
        <v>0</v>
      </c>
      <c r="AU39" s="94">
        <v>0</v>
      </c>
      <c r="AV39" s="94">
        <v>0</v>
      </c>
      <c r="AW39" s="95">
        <v>0</v>
      </c>
      <c r="AY39" s="56">
        <f t="shared" si="0"/>
        <v>0</v>
      </c>
    </row>
    <row r="40" spans="1:51" ht="15">
      <c r="A40" s="52" t="s">
        <v>179</v>
      </c>
      <c r="B40" s="88" t="s">
        <v>176</v>
      </c>
      <c r="C40" s="93">
        <v>0</v>
      </c>
      <c r="D40" s="94">
        <v>0</v>
      </c>
      <c r="E40" s="94">
        <v>0</v>
      </c>
      <c r="F40" s="94">
        <v>0</v>
      </c>
      <c r="G40" s="94">
        <v>0</v>
      </c>
      <c r="H40" s="94">
        <v>0</v>
      </c>
      <c r="I40" s="94">
        <v>0</v>
      </c>
      <c r="J40" s="94">
        <v>0</v>
      </c>
      <c r="K40" s="94">
        <v>0</v>
      </c>
      <c r="L40" s="94">
        <v>0</v>
      </c>
      <c r="M40" s="94">
        <v>0</v>
      </c>
      <c r="N40" s="94">
        <v>0</v>
      </c>
      <c r="O40" s="94">
        <v>0</v>
      </c>
      <c r="P40" s="94">
        <v>0</v>
      </c>
      <c r="Q40" s="94">
        <v>0</v>
      </c>
      <c r="R40" s="94">
        <v>0</v>
      </c>
      <c r="S40" s="94">
        <v>0</v>
      </c>
      <c r="T40" s="94">
        <v>0</v>
      </c>
      <c r="U40" s="94">
        <v>0</v>
      </c>
      <c r="V40" s="94">
        <v>0</v>
      </c>
      <c r="W40" s="94">
        <v>0</v>
      </c>
      <c r="X40" s="94">
        <v>0</v>
      </c>
      <c r="Y40" s="94">
        <v>0</v>
      </c>
      <c r="Z40" s="94">
        <v>0</v>
      </c>
      <c r="AA40" s="94">
        <v>0</v>
      </c>
      <c r="AB40" s="94">
        <v>0</v>
      </c>
      <c r="AC40" s="94">
        <v>0</v>
      </c>
      <c r="AD40" s="94">
        <v>0</v>
      </c>
      <c r="AE40" s="94">
        <v>0</v>
      </c>
      <c r="AF40" s="94">
        <v>0</v>
      </c>
      <c r="AG40" s="94">
        <v>0</v>
      </c>
      <c r="AH40" s="94">
        <v>0</v>
      </c>
      <c r="AI40" s="94">
        <v>0</v>
      </c>
      <c r="AJ40" s="94">
        <v>0</v>
      </c>
      <c r="AK40" s="94">
        <v>0</v>
      </c>
      <c r="AL40" s="94">
        <v>940000</v>
      </c>
      <c r="AM40" s="94">
        <v>1504000</v>
      </c>
      <c r="AN40" s="94">
        <v>1692000</v>
      </c>
      <c r="AO40" s="94">
        <v>2444000</v>
      </c>
      <c r="AP40" s="94">
        <v>2632000</v>
      </c>
      <c r="AQ40" s="94">
        <v>2632000</v>
      </c>
      <c r="AR40" s="94">
        <v>2632000</v>
      </c>
      <c r="AS40" s="94">
        <v>3660750</v>
      </c>
      <c r="AT40" s="94">
        <v>3122250</v>
      </c>
      <c r="AU40" s="94">
        <v>2845800</v>
      </c>
      <c r="AV40" s="94">
        <v>2092133</v>
      </c>
      <c r="AW40" s="95">
        <v>1488045</v>
      </c>
      <c r="AY40" s="56">
        <f t="shared" si="0"/>
        <v>3660750</v>
      </c>
    </row>
    <row r="41" spans="1:51" ht="15.75" thickBot="1">
      <c r="A41" s="81" t="s">
        <v>179</v>
      </c>
      <c r="B41" s="82" t="s">
        <v>177</v>
      </c>
      <c r="C41" s="83">
        <v>0</v>
      </c>
      <c r="D41" s="84">
        <v>0</v>
      </c>
      <c r="E41" s="84">
        <v>0</v>
      </c>
      <c r="F41" s="84">
        <v>0</v>
      </c>
      <c r="G41" s="84">
        <v>0</v>
      </c>
      <c r="H41" s="84">
        <v>0</v>
      </c>
      <c r="I41" s="84">
        <v>0</v>
      </c>
      <c r="J41" s="84">
        <v>0</v>
      </c>
      <c r="K41" s="84">
        <v>0</v>
      </c>
      <c r="L41" s="84">
        <v>0</v>
      </c>
      <c r="M41" s="84">
        <v>0</v>
      </c>
      <c r="N41" s="84">
        <v>0</v>
      </c>
      <c r="O41" s="84">
        <v>0</v>
      </c>
      <c r="P41" s="84">
        <v>0</v>
      </c>
      <c r="Q41" s="84">
        <v>0</v>
      </c>
      <c r="R41" s="84">
        <v>0</v>
      </c>
      <c r="S41" s="84">
        <v>0</v>
      </c>
      <c r="T41" s="84">
        <v>0</v>
      </c>
      <c r="U41" s="84">
        <v>0</v>
      </c>
      <c r="V41" s="84">
        <v>0</v>
      </c>
      <c r="W41" s="84">
        <v>0</v>
      </c>
      <c r="X41" s="84">
        <v>0</v>
      </c>
      <c r="Y41" s="84">
        <v>0</v>
      </c>
      <c r="Z41" s="84">
        <v>0</v>
      </c>
      <c r="AA41" s="84">
        <v>0</v>
      </c>
      <c r="AB41" s="84">
        <v>0</v>
      </c>
      <c r="AC41" s="84">
        <v>0</v>
      </c>
      <c r="AD41" s="84">
        <v>0</v>
      </c>
      <c r="AE41" s="84">
        <v>0</v>
      </c>
      <c r="AF41" s="84">
        <v>0</v>
      </c>
      <c r="AG41" s="84">
        <v>0</v>
      </c>
      <c r="AH41" s="84">
        <v>0</v>
      </c>
      <c r="AI41" s="84">
        <v>0</v>
      </c>
      <c r="AJ41" s="84">
        <v>0</v>
      </c>
      <c r="AK41" s="84">
        <v>0</v>
      </c>
      <c r="AL41" s="84">
        <v>0</v>
      </c>
      <c r="AM41" s="84">
        <v>0</v>
      </c>
      <c r="AN41" s="84">
        <v>0</v>
      </c>
      <c r="AO41" s="84">
        <v>0</v>
      </c>
      <c r="AP41" s="84">
        <v>0</v>
      </c>
      <c r="AQ41" s="84">
        <v>0</v>
      </c>
      <c r="AR41" s="84">
        <v>0</v>
      </c>
      <c r="AS41" s="84">
        <v>0</v>
      </c>
      <c r="AT41" s="84">
        <v>0</v>
      </c>
      <c r="AU41" s="84">
        <v>0</v>
      </c>
      <c r="AV41" s="84">
        <v>0</v>
      </c>
      <c r="AW41" s="85">
        <v>0</v>
      </c>
      <c r="AY41" s="56">
        <f t="shared" si="0"/>
        <v>0</v>
      </c>
    </row>
    <row r="42" spans="1:51" ht="13.5"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zoomScaleNormal="100" workbookViewId="0">
      <selection activeCell="E16" sqref="E16"/>
    </sheetView>
  </sheetViews>
  <sheetFormatPr defaultColWidth="9.140625" defaultRowHeight="12.75"/>
  <cols>
    <col min="1" max="1" width="19.5703125" style="123" bestFit="1" customWidth="1"/>
    <col min="2" max="2" width="18.5703125" style="123" bestFit="1" customWidth="1"/>
    <col min="3" max="3" width="15.42578125" style="123" customWidth="1"/>
    <col min="4" max="4" width="14.7109375" style="123" customWidth="1"/>
    <col min="5" max="6" width="11.7109375" style="123" bestFit="1" customWidth="1"/>
    <col min="7" max="7" width="13.140625" style="123" bestFit="1" customWidth="1"/>
    <col min="8" max="9" width="12" style="123" bestFit="1" customWidth="1"/>
    <col min="10" max="10" width="12.42578125" style="123" customWidth="1"/>
    <col min="11" max="11" width="11.7109375" style="123" customWidth="1"/>
    <col min="12" max="12" width="12.5703125" style="123" customWidth="1"/>
    <col min="13" max="13" width="14.28515625" style="123" customWidth="1"/>
    <col min="14" max="14" width="13.85546875" style="123" customWidth="1"/>
    <col min="15" max="15" width="12.28515625" style="123" customWidth="1"/>
    <col min="16" max="16" width="12.5703125" style="123" customWidth="1"/>
    <col min="17" max="17" width="12.140625" style="123" customWidth="1"/>
    <col min="18" max="18" width="11.85546875" style="123" customWidth="1"/>
    <col min="19" max="19" width="12" style="123" customWidth="1"/>
    <col min="20" max="20" width="12.28515625" style="123" customWidth="1"/>
    <col min="21" max="21" width="12" style="123" customWidth="1"/>
    <col min="22" max="22" width="12.140625" style="123" customWidth="1"/>
    <col min="23" max="23" width="12" style="123" customWidth="1"/>
    <col min="24" max="24" width="12.140625" style="123" customWidth="1"/>
    <col min="25" max="27" width="11.85546875" style="123" customWidth="1"/>
    <col min="28" max="28" width="12" style="123" customWidth="1"/>
    <col min="29" max="29" width="11.85546875" style="123" customWidth="1"/>
    <col min="30" max="49" width="11.140625" style="123" bestFit="1" customWidth="1"/>
    <col min="50" max="50" width="15.5703125" style="123" customWidth="1"/>
    <col min="51" max="51" width="28" style="123" bestFit="1" customWidth="1"/>
    <col min="52" max="52" width="11.28515625" style="123" bestFit="1" customWidth="1"/>
    <col min="53" max="94" width="10.85546875" style="123" bestFit="1" customWidth="1"/>
    <col min="95" max="95" width="12" style="123" bestFit="1" customWidth="1"/>
    <col min="96" max="96" width="13.140625" style="123" bestFit="1" customWidth="1"/>
    <col min="97" max="97" width="10.85546875" style="123" bestFit="1" customWidth="1"/>
    <col min="98" max="98" width="13.140625" style="123" bestFit="1" customWidth="1"/>
    <col min="99" max="99" width="9.140625" style="123"/>
    <col min="100" max="102" width="11.28515625" style="123" bestFit="1" customWidth="1"/>
    <col min="103" max="103" width="9.140625" style="123"/>
    <col min="104" max="104" width="9.85546875" style="123" bestFit="1" customWidth="1"/>
    <col min="105" max="107" width="11.28515625" style="123" bestFit="1" customWidth="1"/>
    <col min="108" max="16384" width="9.140625" style="123"/>
  </cols>
  <sheetData>
    <row r="1" spans="1:49" ht="15.75">
      <c r="A1" s="839"/>
      <c r="B1" s="838"/>
      <c r="C1" s="838"/>
      <c r="D1" s="838"/>
      <c r="E1" s="838"/>
      <c r="F1" s="838"/>
      <c r="G1" s="838"/>
      <c r="H1" s="838"/>
      <c r="I1" s="838"/>
      <c r="J1" s="838"/>
      <c r="K1" s="120"/>
      <c r="L1" s="121"/>
      <c r="M1" s="122"/>
      <c r="N1" s="122"/>
    </row>
    <row r="2" spans="1:49" ht="15">
      <c r="A2" s="839"/>
      <c r="B2" s="838"/>
      <c r="C2" s="838"/>
      <c r="D2" s="838"/>
      <c r="E2" s="124"/>
      <c r="F2" s="124"/>
      <c r="G2" s="124"/>
      <c r="H2" s="124"/>
      <c r="I2" s="838"/>
      <c r="J2" s="838"/>
      <c r="K2" s="120"/>
      <c r="L2" s="125"/>
      <c r="M2" s="125"/>
      <c r="N2" s="125"/>
    </row>
    <row r="3" spans="1:49">
      <c r="A3" s="126" t="s">
        <v>258</v>
      </c>
    </row>
    <row r="5" spans="1:49" ht="15.75" thickBot="1">
      <c r="A5" s="127" t="s">
        <v>259</v>
      </c>
    </row>
    <row r="6" spans="1:49" ht="16.5" thickTop="1" thickBot="1">
      <c r="A6" s="128" t="s">
        <v>260</v>
      </c>
      <c r="B6" s="129" t="s">
        <v>261</v>
      </c>
      <c r="C6" s="129" t="s">
        <v>262</v>
      </c>
      <c r="D6" s="129" t="s">
        <v>79</v>
      </c>
      <c r="E6" s="129" t="s">
        <v>104</v>
      </c>
      <c r="F6" s="129" t="s">
        <v>81</v>
      </c>
      <c r="G6" s="129" t="s">
        <v>100</v>
      </c>
      <c r="H6" s="129" t="s">
        <v>51</v>
      </c>
      <c r="I6" s="129" t="s">
        <v>263</v>
      </c>
      <c r="J6" s="129" t="s">
        <v>264</v>
      </c>
      <c r="K6" s="129" t="s">
        <v>265</v>
      </c>
      <c r="L6" s="129" t="s">
        <v>74</v>
      </c>
      <c r="M6" s="129" t="s">
        <v>266</v>
      </c>
      <c r="N6" s="130" t="s">
        <v>267</v>
      </c>
    </row>
    <row r="7" spans="1:49" ht="15">
      <c r="A7" s="131" t="s">
        <v>132</v>
      </c>
      <c r="B7" s="132" t="s">
        <v>268</v>
      </c>
      <c r="C7" s="132" t="s">
        <v>125</v>
      </c>
      <c r="D7" s="132" t="s">
        <v>126</v>
      </c>
      <c r="E7" s="132" t="s">
        <v>131</v>
      </c>
      <c r="F7" s="132" t="s">
        <v>127</v>
      </c>
      <c r="G7" s="132" t="s">
        <v>128</v>
      </c>
      <c r="H7" s="132" t="s">
        <v>129</v>
      </c>
      <c r="I7" s="132" t="s">
        <v>130</v>
      </c>
      <c r="J7" s="132" t="s">
        <v>269</v>
      </c>
      <c r="K7" s="132" t="s">
        <v>270</v>
      </c>
      <c r="L7" s="132" t="s">
        <v>271</v>
      </c>
      <c r="M7" s="132" t="s">
        <v>272</v>
      </c>
      <c r="N7" s="133" t="s">
        <v>273</v>
      </c>
    </row>
    <row r="8" spans="1:49" ht="15">
      <c r="A8" s="131"/>
      <c r="B8" s="132"/>
      <c r="C8" s="132"/>
      <c r="D8" s="132" t="s">
        <v>133</v>
      </c>
      <c r="E8" s="132"/>
      <c r="F8" s="132" t="s">
        <v>134</v>
      </c>
      <c r="G8" s="132" t="s">
        <v>135</v>
      </c>
      <c r="H8" s="132" t="s">
        <v>274</v>
      </c>
      <c r="I8" s="132" t="s">
        <v>136</v>
      </c>
      <c r="J8" s="132" t="s">
        <v>275</v>
      </c>
      <c r="K8" s="132"/>
      <c r="L8" s="132"/>
      <c r="M8" s="132"/>
      <c r="N8" s="133"/>
    </row>
    <row r="9" spans="1:49" ht="15">
      <c r="A9" s="131"/>
      <c r="B9" s="132"/>
      <c r="C9" s="132"/>
      <c r="D9" s="132"/>
      <c r="E9" s="132"/>
      <c r="F9" s="132" t="s">
        <v>137</v>
      </c>
      <c r="G9" s="132" t="s">
        <v>138</v>
      </c>
      <c r="H9" s="132"/>
      <c r="I9" s="132"/>
      <c r="J9" s="132" t="s">
        <v>276</v>
      </c>
      <c r="K9" s="132"/>
      <c r="L9" s="132"/>
      <c r="M9" s="132"/>
      <c r="N9" s="133"/>
    </row>
    <row r="10" spans="1:49" ht="15.75" thickBot="1">
      <c r="A10" s="134"/>
      <c r="B10" s="135"/>
      <c r="C10" s="135"/>
      <c r="D10" s="135"/>
      <c r="E10" s="135"/>
      <c r="F10" s="135"/>
      <c r="G10" s="135" t="s">
        <v>139</v>
      </c>
      <c r="H10" s="135"/>
      <c r="I10" s="135"/>
      <c r="J10" s="135"/>
      <c r="K10" s="135"/>
      <c r="L10" s="135"/>
      <c r="M10" s="135"/>
      <c r="N10" s="136"/>
    </row>
    <row r="11" spans="1:49" ht="13.5" thickTop="1"/>
    <row r="13" spans="1:49" ht="15">
      <c r="A13" s="127" t="s">
        <v>277</v>
      </c>
      <c r="C13" s="123">
        <f>C19</f>
        <v>1966</v>
      </c>
      <c r="D13" s="123">
        <f t="shared" ref="D13:AW13" si="0">D19</f>
        <v>1967</v>
      </c>
      <c r="E13" s="123">
        <f t="shared" si="0"/>
        <v>1968</v>
      </c>
      <c r="F13" s="123">
        <f t="shared" si="0"/>
        <v>1969</v>
      </c>
      <c r="G13" s="123">
        <f t="shared" si="0"/>
        <v>1970</v>
      </c>
      <c r="H13" s="123">
        <f t="shared" si="0"/>
        <v>1971</v>
      </c>
      <c r="I13" s="123">
        <f t="shared" si="0"/>
        <v>1972</v>
      </c>
      <c r="J13" s="123">
        <f t="shared" si="0"/>
        <v>1973</v>
      </c>
      <c r="K13" s="123">
        <f t="shared" si="0"/>
        <v>1974</v>
      </c>
      <c r="L13" s="123">
        <f t="shared" si="0"/>
        <v>1975</v>
      </c>
      <c r="M13" s="123">
        <f t="shared" si="0"/>
        <v>1976</v>
      </c>
      <c r="N13" s="123">
        <f t="shared" si="0"/>
        <v>1977</v>
      </c>
      <c r="O13" s="123">
        <f t="shared" si="0"/>
        <v>1978</v>
      </c>
      <c r="P13" s="123">
        <f t="shared" si="0"/>
        <v>1979</v>
      </c>
      <c r="Q13" s="123">
        <f t="shared" si="0"/>
        <v>1980</v>
      </c>
      <c r="R13" s="123">
        <f t="shared" si="0"/>
        <v>1981</v>
      </c>
      <c r="S13" s="123">
        <f t="shared" si="0"/>
        <v>1982</v>
      </c>
      <c r="T13" s="123">
        <f t="shared" si="0"/>
        <v>1983</v>
      </c>
      <c r="U13" s="123">
        <f t="shared" si="0"/>
        <v>1984</v>
      </c>
      <c r="V13" s="123">
        <f t="shared" si="0"/>
        <v>1985</v>
      </c>
      <c r="W13" s="123">
        <f t="shared" si="0"/>
        <v>1986</v>
      </c>
      <c r="X13" s="123">
        <f t="shared" si="0"/>
        <v>1987</v>
      </c>
      <c r="Y13" s="123">
        <f t="shared" si="0"/>
        <v>1988</v>
      </c>
      <c r="Z13" s="123">
        <f t="shared" si="0"/>
        <v>1989</v>
      </c>
      <c r="AA13" s="123">
        <f t="shared" si="0"/>
        <v>1990</v>
      </c>
      <c r="AB13" s="123">
        <f t="shared" si="0"/>
        <v>1991</v>
      </c>
      <c r="AC13" s="123">
        <f t="shared" si="0"/>
        <v>1992</v>
      </c>
      <c r="AD13" s="123">
        <f t="shared" si="0"/>
        <v>1993</v>
      </c>
      <c r="AE13" s="123">
        <f t="shared" si="0"/>
        <v>1994</v>
      </c>
      <c r="AF13" s="123">
        <f t="shared" si="0"/>
        <v>1995</v>
      </c>
      <c r="AG13" s="123">
        <f t="shared" si="0"/>
        <v>1996</v>
      </c>
      <c r="AH13" s="123">
        <f t="shared" si="0"/>
        <v>1997</v>
      </c>
      <c r="AI13" s="123">
        <f t="shared" si="0"/>
        <v>1998</v>
      </c>
      <c r="AJ13" s="123">
        <f t="shared" si="0"/>
        <v>1999</v>
      </c>
      <c r="AK13" s="123">
        <f t="shared" si="0"/>
        <v>2000</v>
      </c>
      <c r="AL13" s="123">
        <f t="shared" si="0"/>
        <v>2001</v>
      </c>
      <c r="AM13" s="123">
        <f t="shared" si="0"/>
        <v>2002</v>
      </c>
      <c r="AN13" s="123">
        <f t="shared" si="0"/>
        <v>2003</v>
      </c>
      <c r="AO13" s="123">
        <f t="shared" si="0"/>
        <v>2004</v>
      </c>
      <c r="AP13" s="123">
        <f t="shared" si="0"/>
        <v>2005</v>
      </c>
      <c r="AQ13" s="123">
        <f t="shared" si="0"/>
        <v>2006</v>
      </c>
      <c r="AR13" s="123">
        <f t="shared" si="0"/>
        <v>2007</v>
      </c>
      <c r="AS13" s="123">
        <f t="shared" si="0"/>
        <v>2008</v>
      </c>
      <c r="AT13" s="123">
        <f t="shared" si="0"/>
        <v>2009</v>
      </c>
      <c r="AU13" s="123">
        <f t="shared" si="0"/>
        <v>2010</v>
      </c>
      <c r="AV13" s="123">
        <f t="shared" si="0"/>
        <v>2011</v>
      </c>
      <c r="AW13" s="123">
        <f t="shared" si="0"/>
        <v>2012</v>
      </c>
    </row>
    <row r="14" spans="1:49">
      <c r="A14" s="126" t="s">
        <v>278</v>
      </c>
      <c r="C14" s="137">
        <f t="shared" ref="C14:AW14" si="1">SUM(C20:C33)/C37</f>
        <v>0.99971324958170915</v>
      </c>
      <c r="D14" s="137">
        <f t="shared" si="1"/>
        <v>0.9386694592656698</v>
      </c>
      <c r="E14" s="137">
        <f t="shared" si="1"/>
        <v>0.97891871130519703</v>
      </c>
      <c r="F14" s="137">
        <f t="shared" si="1"/>
        <v>0.92788728196621739</v>
      </c>
      <c r="G14" s="137">
        <f t="shared" si="1"/>
        <v>0.95907408347135203</v>
      </c>
      <c r="H14" s="137">
        <f t="shared" si="1"/>
        <v>0.98956750041324748</v>
      </c>
      <c r="I14" s="137">
        <f t="shared" si="1"/>
        <v>0.97409260022690913</v>
      </c>
      <c r="J14" s="137">
        <f t="shared" si="1"/>
        <v>0.91093512254792297</v>
      </c>
      <c r="K14" s="137">
        <f t="shared" si="1"/>
        <v>0.93168167262016899</v>
      </c>
      <c r="L14" s="137">
        <f t="shared" si="1"/>
        <v>0.99732568143711975</v>
      </c>
      <c r="M14" s="137">
        <f t="shared" si="1"/>
        <v>1.0448397164948047</v>
      </c>
      <c r="N14" s="137">
        <f t="shared" si="1"/>
        <v>1.012683036968768</v>
      </c>
      <c r="O14" s="137">
        <f t="shared" si="1"/>
        <v>1.0059976530878547</v>
      </c>
      <c r="P14" s="137">
        <f t="shared" si="1"/>
        <v>1.0367875218910647</v>
      </c>
      <c r="Q14" s="137">
        <f t="shared" si="1"/>
        <v>1.080310540402269</v>
      </c>
      <c r="R14" s="137">
        <f t="shared" si="1"/>
        <v>1.0617087861714194</v>
      </c>
      <c r="S14" s="137">
        <f t="shared" si="1"/>
        <v>1.1379179798011689</v>
      </c>
      <c r="T14" s="137">
        <f t="shared" si="1"/>
        <v>1.0906838246304673</v>
      </c>
      <c r="U14" s="137">
        <f t="shared" si="1"/>
        <v>1.0883657291397635</v>
      </c>
      <c r="V14" s="137">
        <f t="shared" si="1"/>
        <v>1.0546015713139747</v>
      </c>
      <c r="W14" s="137">
        <f t="shared" si="1"/>
        <v>1.0698631243333847</v>
      </c>
      <c r="X14" s="137">
        <f t="shared" si="1"/>
        <v>1.0882602957302334</v>
      </c>
      <c r="Y14" s="137">
        <f t="shared" si="1"/>
        <v>1.0941005317018644</v>
      </c>
      <c r="Z14" s="137">
        <f t="shared" si="1"/>
        <v>1.0876472933388903</v>
      </c>
      <c r="AA14" s="137">
        <f t="shared" si="1"/>
        <v>1.0759188408148379</v>
      </c>
      <c r="AB14" s="137">
        <f t="shared" si="1"/>
        <v>1.0417788397807244</v>
      </c>
      <c r="AC14" s="137">
        <f t="shared" si="1"/>
        <v>1.0077152739722475</v>
      </c>
      <c r="AD14" s="137">
        <f t="shared" si="1"/>
        <v>1.035019602292633</v>
      </c>
      <c r="AE14" s="137">
        <f t="shared" si="1"/>
        <v>1.0322608116348859</v>
      </c>
      <c r="AF14" s="137">
        <f t="shared" si="1"/>
        <v>1.0142434107296672</v>
      </c>
      <c r="AG14" s="137">
        <f t="shared" si="1"/>
        <v>1.0259817392235322</v>
      </c>
      <c r="AH14" s="137">
        <f t="shared" si="1"/>
        <v>1.0158211589344759</v>
      </c>
      <c r="AI14" s="137">
        <f t="shared" si="1"/>
        <v>0.99599229065103967</v>
      </c>
      <c r="AJ14" s="137">
        <f t="shared" si="1"/>
        <v>1.0169909632468461</v>
      </c>
      <c r="AK14" s="137">
        <f t="shared" si="1"/>
        <v>1.0241370135623036</v>
      </c>
      <c r="AL14" s="137">
        <f t="shared" si="1"/>
        <v>1.0358092568020993</v>
      </c>
      <c r="AM14" s="137">
        <f t="shared" si="1"/>
        <v>1.0216634157279378</v>
      </c>
      <c r="AN14" s="137">
        <f t="shared" si="1"/>
        <v>1.0055409827568671</v>
      </c>
      <c r="AO14" s="137">
        <f t="shared" si="1"/>
        <v>0.99816572816425353</v>
      </c>
      <c r="AP14" s="137">
        <f t="shared" si="1"/>
        <v>0.99869959691354637</v>
      </c>
      <c r="AQ14" s="137">
        <f t="shared" si="1"/>
        <v>1.0091910673742228</v>
      </c>
      <c r="AR14" s="137">
        <f t="shared" si="1"/>
        <v>1.0188577573407216</v>
      </c>
      <c r="AS14" s="137">
        <f t="shared" si="1"/>
        <v>1.0351881023668079</v>
      </c>
      <c r="AT14" s="137">
        <f t="shared" si="1"/>
        <v>1.0237459002311977</v>
      </c>
      <c r="AU14" s="137">
        <f t="shared" si="1"/>
        <v>1.0457724442255836</v>
      </c>
      <c r="AV14" s="137">
        <f t="shared" si="1"/>
        <v>1.0168160085485036</v>
      </c>
      <c r="AW14" s="137">
        <f t="shared" si="1"/>
        <v>1.0143530385297808</v>
      </c>
    </row>
    <row r="15" spans="1:49">
      <c r="A15" s="138" t="s">
        <v>279</v>
      </c>
      <c r="B15" s="138"/>
      <c r="C15" s="139">
        <f t="shared" ref="C15:AW15" si="2">SUM(C20:C33)/SUM(C37:C38)</f>
        <v>0.99971324958170915</v>
      </c>
      <c r="D15" s="139">
        <f t="shared" si="2"/>
        <v>0.9386694592656698</v>
      </c>
      <c r="E15" s="139">
        <f t="shared" si="2"/>
        <v>0.97891871130519703</v>
      </c>
      <c r="F15" s="139">
        <f t="shared" si="2"/>
        <v>0.92788728196621739</v>
      </c>
      <c r="G15" s="139">
        <f t="shared" si="2"/>
        <v>0.95907408347135203</v>
      </c>
      <c r="H15" s="139">
        <f t="shared" si="2"/>
        <v>0.98956750041324748</v>
      </c>
      <c r="I15" s="139">
        <f t="shared" si="2"/>
        <v>0.97409260022690913</v>
      </c>
      <c r="J15" s="139">
        <f t="shared" si="2"/>
        <v>0.91093512254792297</v>
      </c>
      <c r="K15" s="139">
        <f t="shared" si="2"/>
        <v>0.93031515320643832</v>
      </c>
      <c r="L15" s="139">
        <f t="shared" si="2"/>
        <v>0.99422165091952031</v>
      </c>
      <c r="M15" s="139">
        <f t="shared" si="2"/>
        <v>0.99115054358254828</v>
      </c>
      <c r="N15" s="139">
        <f t="shared" si="2"/>
        <v>0.98822678278892562</v>
      </c>
      <c r="O15" s="139">
        <f t="shared" si="2"/>
        <v>0.98525584633938368</v>
      </c>
      <c r="P15" s="139">
        <f t="shared" si="2"/>
        <v>0.99227845916788582</v>
      </c>
      <c r="Q15" s="139">
        <f t="shared" si="2"/>
        <v>0.940175410953077</v>
      </c>
      <c r="R15" s="139">
        <f t="shared" si="2"/>
        <v>0.9855104613992699</v>
      </c>
      <c r="S15" s="139">
        <f t="shared" si="2"/>
        <v>0.98195548868960603</v>
      </c>
      <c r="T15" s="139">
        <f t="shared" si="2"/>
        <v>0.98745562846712442</v>
      </c>
      <c r="U15" s="139">
        <f t="shared" si="2"/>
        <v>1.0073943369735952</v>
      </c>
      <c r="V15" s="139">
        <f t="shared" si="2"/>
        <v>0.99249846864526947</v>
      </c>
      <c r="W15" s="139">
        <f t="shared" si="2"/>
        <v>0.98802817518584696</v>
      </c>
      <c r="X15" s="139">
        <f t="shared" si="2"/>
        <v>1.0001575545723</v>
      </c>
      <c r="Y15" s="139">
        <f t="shared" si="2"/>
        <v>0.99670807267209294</v>
      </c>
      <c r="Z15" s="139">
        <f t="shared" si="2"/>
        <v>0.9837586491949607</v>
      </c>
      <c r="AA15" s="139">
        <f t="shared" si="2"/>
        <v>0.98974980067726581</v>
      </c>
      <c r="AB15" s="139">
        <f t="shared" si="2"/>
        <v>0.99155629245539434</v>
      </c>
      <c r="AC15" s="139">
        <f t="shared" si="2"/>
        <v>0.98708931870790462</v>
      </c>
      <c r="AD15" s="139">
        <f t="shared" si="2"/>
        <v>0.97308021500790876</v>
      </c>
      <c r="AE15" s="139">
        <f t="shared" si="2"/>
        <v>1.0001805502821794</v>
      </c>
      <c r="AF15" s="139">
        <f t="shared" si="2"/>
        <v>0.99542600741164156</v>
      </c>
      <c r="AG15" s="139">
        <f t="shared" si="2"/>
        <v>1.0144510579268426</v>
      </c>
      <c r="AH15" s="139">
        <f t="shared" si="2"/>
        <v>1.0066474998304233</v>
      </c>
      <c r="AI15" s="139">
        <f t="shared" si="2"/>
        <v>0.98778553531420821</v>
      </c>
      <c r="AJ15" s="139">
        <f t="shared" si="2"/>
        <v>0.98546621367577902</v>
      </c>
      <c r="AK15" s="139">
        <f t="shared" si="2"/>
        <v>1.0075033397553534</v>
      </c>
      <c r="AL15" s="139">
        <f t="shared" si="2"/>
        <v>1.027618554535213</v>
      </c>
      <c r="AM15" s="139">
        <f t="shared" si="2"/>
        <v>1.0133324765597054</v>
      </c>
      <c r="AN15" s="139">
        <f t="shared" si="2"/>
        <v>0.9982290068070625</v>
      </c>
      <c r="AO15" s="139">
        <f t="shared" si="2"/>
        <v>0.99606147265323708</v>
      </c>
      <c r="AP15" s="139">
        <f t="shared" si="2"/>
        <v>0.98997275809571494</v>
      </c>
      <c r="AQ15" s="139">
        <f t="shared" si="2"/>
        <v>0.99741178955276766</v>
      </c>
      <c r="AR15" s="139">
        <f t="shared" si="2"/>
        <v>1.0152177808950613</v>
      </c>
      <c r="AS15" s="139">
        <f t="shared" si="2"/>
        <v>1.0310703294009813</v>
      </c>
      <c r="AT15" s="139">
        <f t="shared" si="2"/>
        <v>1.0182730495141552</v>
      </c>
      <c r="AU15" s="139">
        <f t="shared" si="2"/>
        <v>1.0384561173065334</v>
      </c>
      <c r="AV15" s="139">
        <f t="shared" si="2"/>
        <v>1.0093708173955545</v>
      </c>
      <c r="AW15" s="139">
        <f t="shared" si="2"/>
        <v>1.0122844099143604</v>
      </c>
    </row>
    <row r="16" spans="1:49">
      <c r="A16" s="126" t="s">
        <v>280</v>
      </c>
      <c r="C16" s="137">
        <f>(SUM(C59:C64))/(C74+C75)</f>
        <v>0.97414622529378481</v>
      </c>
      <c r="D16" s="137">
        <f t="shared" ref="D16:AW16" si="3">(SUM(D59:D64))/(D74+D75)</f>
        <v>0.92116210588242409</v>
      </c>
      <c r="E16" s="137">
        <f t="shared" si="3"/>
        <v>0.95923300239725406</v>
      </c>
      <c r="F16" s="137">
        <f t="shared" si="3"/>
        <v>0.909222941215312</v>
      </c>
      <c r="G16" s="137">
        <f t="shared" si="3"/>
        <v>0.9385918334270531</v>
      </c>
      <c r="H16" s="137">
        <f t="shared" si="3"/>
        <v>0.96988247645129022</v>
      </c>
      <c r="I16" s="137">
        <f t="shared" si="3"/>
        <v>0.95184268288326179</v>
      </c>
      <c r="J16" s="137">
        <f t="shared" si="3"/>
        <v>0.89277234684846407</v>
      </c>
      <c r="K16" s="137">
        <f t="shared" si="3"/>
        <v>0.91074344750086533</v>
      </c>
      <c r="L16" s="137">
        <f t="shared" si="3"/>
        <v>0.92611395879821268</v>
      </c>
      <c r="M16" s="137">
        <f t="shared" si="3"/>
        <v>0.93115394143508257</v>
      </c>
      <c r="N16" s="137">
        <f t="shared" si="3"/>
        <v>0.92519123193623809</v>
      </c>
      <c r="O16" s="137">
        <f t="shared" si="3"/>
        <v>0.93339715245183874</v>
      </c>
      <c r="P16" s="137">
        <f t="shared" si="3"/>
        <v>0.93900737817089952</v>
      </c>
      <c r="Q16" s="137">
        <f t="shared" si="3"/>
        <v>0.88755559353951907</v>
      </c>
      <c r="R16" s="137">
        <f t="shared" si="3"/>
        <v>0.91829442302846376</v>
      </c>
      <c r="S16" s="137">
        <f t="shared" si="3"/>
        <v>0.91715279027341501</v>
      </c>
      <c r="T16" s="137">
        <f t="shared" si="3"/>
        <v>0.93648078170559701</v>
      </c>
      <c r="U16" s="137">
        <f t="shared" si="3"/>
        <v>0.95601349878020536</v>
      </c>
      <c r="V16" s="137">
        <f t="shared" si="3"/>
        <v>0.93942437829262038</v>
      </c>
      <c r="W16" s="137">
        <f t="shared" si="3"/>
        <v>0.93933500640655243</v>
      </c>
      <c r="X16" s="137">
        <f t="shared" si="3"/>
        <v>0.95184586466737842</v>
      </c>
      <c r="Y16" s="137">
        <f t="shared" si="3"/>
        <v>0.94597813671044551</v>
      </c>
      <c r="Z16" s="137">
        <f t="shared" si="3"/>
        <v>0.93770162033724302</v>
      </c>
      <c r="AA16" s="137">
        <f t="shared" si="3"/>
        <v>0.94321265977467672</v>
      </c>
      <c r="AB16" s="137">
        <f t="shared" si="3"/>
        <v>0.94351289958826434</v>
      </c>
      <c r="AC16" s="137">
        <f t="shared" si="3"/>
        <v>0.93585662444873774</v>
      </c>
      <c r="AD16" s="137">
        <f t="shared" si="3"/>
        <v>0.92281149245327843</v>
      </c>
      <c r="AE16" s="137">
        <f t="shared" si="3"/>
        <v>0.94865830051698496</v>
      </c>
      <c r="AF16" s="137">
        <f t="shared" si="3"/>
        <v>0.94259015965260662</v>
      </c>
      <c r="AG16" s="137">
        <f t="shared" si="3"/>
        <v>0.96204768257313333</v>
      </c>
      <c r="AH16" s="137">
        <f t="shared" si="3"/>
        <v>0.95605468080331579</v>
      </c>
      <c r="AI16" s="137">
        <f t="shared" si="3"/>
        <v>0.93960386296821785</v>
      </c>
      <c r="AJ16" s="137">
        <f t="shared" si="3"/>
        <v>0.9210920147181878</v>
      </c>
      <c r="AK16" s="137">
        <f t="shared" si="3"/>
        <v>0.94127795574163764</v>
      </c>
      <c r="AL16" s="137">
        <f t="shared" si="3"/>
        <v>0.95505806547322025</v>
      </c>
      <c r="AM16" s="137">
        <f t="shared" si="3"/>
        <v>0.94381895297795082</v>
      </c>
      <c r="AN16" s="137">
        <f t="shared" si="3"/>
        <v>0.93597707006052944</v>
      </c>
      <c r="AO16" s="137">
        <f t="shared" si="3"/>
        <v>0.93428673416228647</v>
      </c>
      <c r="AP16" s="137">
        <f t="shared" si="3"/>
        <v>0.92857144928227087</v>
      </c>
      <c r="AQ16" s="137">
        <f t="shared" si="3"/>
        <v>0.93767904472045227</v>
      </c>
      <c r="AR16" s="137">
        <f t="shared" si="3"/>
        <v>0.95297496095970646</v>
      </c>
      <c r="AS16" s="137">
        <f t="shared" si="3"/>
        <v>0.93712510490814094</v>
      </c>
      <c r="AT16" s="137">
        <f t="shared" si="3"/>
        <v>0.93676195774884319</v>
      </c>
      <c r="AU16" s="137">
        <f t="shared" si="3"/>
        <v>0.9554443053405679</v>
      </c>
      <c r="AV16" s="137">
        <f t="shared" si="3"/>
        <v>0.92652401501752812</v>
      </c>
      <c r="AW16" s="137">
        <f t="shared" si="3"/>
        <v>0.93850532367061368</v>
      </c>
    </row>
    <row r="18" spans="1:114" ht="15.75" thickBot="1">
      <c r="A18" s="127" t="s">
        <v>281</v>
      </c>
    </row>
    <row r="19" spans="1:114" ht="31.5" thickTop="1" thickBot="1">
      <c r="A19" s="140" t="s">
        <v>140</v>
      </c>
      <c r="B19" s="141" t="s">
        <v>141</v>
      </c>
      <c r="C19" s="142">
        <v>1966</v>
      </c>
      <c r="D19" s="143">
        <v>1967</v>
      </c>
      <c r="E19" s="143">
        <v>1968</v>
      </c>
      <c r="F19" s="143">
        <v>1969</v>
      </c>
      <c r="G19" s="143">
        <v>1970</v>
      </c>
      <c r="H19" s="143">
        <v>1971</v>
      </c>
      <c r="I19" s="143">
        <v>1972</v>
      </c>
      <c r="J19" s="143">
        <v>1973</v>
      </c>
      <c r="K19" s="143">
        <v>1974</v>
      </c>
      <c r="L19" s="143">
        <v>1975</v>
      </c>
      <c r="M19" s="143">
        <v>1976</v>
      </c>
      <c r="N19" s="143">
        <v>1977</v>
      </c>
      <c r="O19" s="143">
        <v>1978</v>
      </c>
      <c r="P19" s="143">
        <v>1979</v>
      </c>
      <c r="Q19" s="143">
        <v>1980</v>
      </c>
      <c r="R19" s="143">
        <v>1981</v>
      </c>
      <c r="S19" s="143">
        <v>1982</v>
      </c>
      <c r="T19" s="143">
        <v>1983</v>
      </c>
      <c r="U19" s="143">
        <v>1984</v>
      </c>
      <c r="V19" s="143">
        <v>1985</v>
      </c>
      <c r="W19" s="143">
        <v>1986</v>
      </c>
      <c r="X19" s="143">
        <v>1987</v>
      </c>
      <c r="Y19" s="143">
        <v>1988</v>
      </c>
      <c r="Z19" s="143">
        <v>1989</v>
      </c>
      <c r="AA19" s="143">
        <v>1990</v>
      </c>
      <c r="AB19" s="143">
        <v>1991</v>
      </c>
      <c r="AC19" s="143">
        <v>1992</v>
      </c>
      <c r="AD19" s="143">
        <v>1993</v>
      </c>
      <c r="AE19" s="143">
        <v>1994</v>
      </c>
      <c r="AF19" s="143">
        <v>1995</v>
      </c>
      <c r="AG19" s="143">
        <v>1996</v>
      </c>
      <c r="AH19" s="143">
        <v>1997</v>
      </c>
      <c r="AI19" s="143">
        <v>1998</v>
      </c>
      <c r="AJ19" s="143">
        <v>1999</v>
      </c>
      <c r="AK19" s="143">
        <v>2000</v>
      </c>
      <c r="AL19" s="143">
        <v>2001</v>
      </c>
      <c r="AM19" s="143">
        <v>2002</v>
      </c>
      <c r="AN19" s="143">
        <v>2003</v>
      </c>
      <c r="AO19" s="143">
        <v>2004</v>
      </c>
      <c r="AP19" s="143">
        <v>2005</v>
      </c>
      <c r="AQ19" s="143">
        <v>2006</v>
      </c>
      <c r="AR19" s="143">
        <v>2007</v>
      </c>
      <c r="AS19" s="143">
        <v>2008</v>
      </c>
      <c r="AT19" s="143">
        <v>2009</v>
      </c>
      <c r="AU19" s="143">
        <v>2010</v>
      </c>
      <c r="AV19" s="143">
        <v>2011</v>
      </c>
      <c r="AW19" s="144">
        <v>2012</v>
      </c>
      <c r="CW19" s="126" t="s">
        <v>282</v>
      </c>
      <c r="DB19" s="126" t="s">
        <v>283</v>
      </c>
    </row>
    <row r="20" spans="1:114" ht="16.5" thickTop="1" thickBot="1">
      <c r="A20" s="145" t="s">
        <v>284</v>
      </c>
      <c r="B20" s="146" t="s">
        <v>260</v>
      </c>
      <c r="C20" s="147">
        <v>0</v>
      </c>
      <c r="D20" s="148">
        <v>0</v>
      </c>
      <c r="E20" s="148">
        <v>0</v>
      </c>
      <c r="F20" s="148">
        <v>0</v>
      </c>
      <c r="G20" s="148">
        <v>0</v>
      </c>
      <c r="H20" s="148">
        <v>0</v>
      </c>
      <c r="I20" s="148">
        <v>0</v>
      </c>
      <c r="J20" s="148">
        <v>0</v>
      </c>
      <c r="K20" s="148">
        <v>0</v>
      </c>
      <c r="L20" s="148">
        <v>0</v>
      </c>
      <c r="M20" s="148">
        <v>0</v>
      </c>
      <c r="N20" s="148">
        <v>0</v>
      </c>
      <c r="O20" s="148">
        <v>0</v>
      </c>
      <c r="P20" s="148">
        <v>0</v>
      </c>
      <c r="Q20" s="148">
        <v>0</v>
      </c>
      <c r="R20" s="148">
        <v>0</v>
      </c>
      <c r="S20" s="148">
        <v>0</v>
      </c>
      <c r="T20" s="148">
        <v>0</v>
      </c>
      <c r="U20" s="148">
        <v>0</v>
      </c>
      <c r="V20" s="148">
        <v>0</v>
      </c>
      <c r="W20" s="148">
        <v>0</v>
      </c>
      <c r="X20" s="148">
        <v>0</v>
      </c>
      <c r="Y20" s="148">
        <v>0</v>
      </c>
      <c r="Z20" s="148">
        <v>0</v>
      </c>
      <c r="AA20" s="148">
        <v>0</v>
      </c>
      <c r="AB20" s="148">
        <v>0</v>
      </c>
      <c r="AC20" s="148">
        <v>0</v>
      </c>
      <c r="AD20" s="148">
        <v>0</v>
      </c>
      <c r="AE20" s="148">
        <v>0</v>
      </c>
      <c r="AF20" s="148">
        <v>0</v>
      </c>
      <c r="AG20" s="148">
        <v>0</v>
      </c>
      <c r="AH20" s="148">
        <v>0</v>
      </c>
      <c r="AI20" s="148">
        <v>0</v>
      </c>
      <c r="AJ20" s="148">
        <v>0</v>
      </c>
      <c r="AK20" s="148">
        <v>0</v>
      </c>
      <c r="AL20" s="148">
        <v>0</v>
      </c>
      <c r="AM20" s="148">
        <v>0</v>
      </c>
      <c r="AN20" s="148">
        <v>0</v>
      </c>
      <c r="AO20" s="148">
        <v>0</v>
      </c>
      <c r="AP20" s="148">
        <v>0</v>
      </c>
      <c r="AQ20" s="148">
        <v>0</v>
      </c>
      <c r="AR20" s="148">
        <v>0</v>
      </c>
      <c r="AS20" s="148">
        <v>0</v>
      </c>
      <c r="AT20" s="148">
        <v>0</v>
      </c>
      <c r="AU20" s="148">
        <v>0</v>
      </c>
      <c r="AV20" s="148">
        <v>0</v>
      </c>
      <c r="AW20" s="149">
        <v>0</v>
      </c>
      <c r="AX20" s="150"/>
      <c r="AY20" s="151"/>
      <c r="AZ20" s="143">
        <v>1966</v>
      </c>
      <c r="BA20" s="143">
        <v>1967</v>
      </c>
      <c r="BB20" s="143">
        <v>1968</v>
      </c>
      <c r="BC20" s="143">
        <v>1969</v>
      </c>
      <c r="BD20" s="143">
        <v>1970</v>
      </c>
      <c r="BE20" s="143">
        <v>1971</v>
      </c>
      <c r="BF20" s="143">
        <v>1972</v>
      </c>
      <c r="BG20" s="143">
        <v>1973</v>
      </c>
      <c r="BH20" s="143">
        <v>1974</v>
      </c>
      <c r="BI20" s="143">
        <v>1975</v>
      </c>
      <c r="BJ20" s="143">
        <v>1976</v>
      </c>
      <c r="BK20" s="143">
        <v>1977</v>
      </c>
      <c r="BL20" s="143">
        <v>1978</v>
      </c>
      <c r="BM20" s="143">
        <v>1979</v>
      </c>
      <c r="BN20" s="143">
        <v>1980</v>
      </c>
      <c r="BO20" s="143">
        <v>1981</v>
      </c>
      <c r="BP20" s="143">
        <v>1982</v>
      </c>
      <c r="BQ20" s="143">
        <v>1983</v>
      </c>
      <c r="BR20" s="143">
        <v>1984</v>
      </c>
      <c r="BS20" s="143">
        <v>1985</v>
      </c>
      <c r="BT20" s="143">
        <v>1986</v>
      </c>
      <c r="BU20" s="143">
        <v>1987</v>
      </c>
      <c r="BV20" s="143">
        <v>1988</v>
      </c>
      <c r="BW20" s="143">
        <v>1989</v>
      </c>
      <c r="BX20" s="143">
        <v>1990</v>
      </c>
      <c r="BY20" s="143">
        <v>1991</v>
      </c>
      <c r="BZ20" s="143">
        <v>1992</v>
      </c>
      <c r="CA20" s="143">
        <v>1993</v>
      </c>
      <c r="CB20" s="143">
        <v>1994</v>
      </c>
      <c r="CC20" s="143">
        <v>1995</v>
      </c>
      <c r="CD20" s="143">
        <v>1996</v>
      </c>
      <c r="CE20" s="143">
        <v>1997</v>
      </c>
      <c r="CF20" s="60">
        <v>1998</v>
      </c>
      <c r="CG20" s="143">
        <v>1999</v>
      </c>
      <c r="CH20" s="143">
        <v>2000</v>
      </c>
      <c r="CI20" s="143">
        <v>2001</v>
      </c>
      <c r="CJ20" s="143">
        <v>2002</v>
      </c>
      <c r="CK20" s="143">
        <v>2003</v>
      </c>
      <c r="CL20" s="143">
        <v>2004</v>
      </c>
      <c r="CM20" s="143">
        <v>2005</v>
      </c>
      <c r="CN20" s="143">
        <v>2006</v>
      </c>
      <c r="CO20" s="143">
        <v>2007</v>
      </c>
      <c r="CP20" s="143">
        <v>2008</v>
      </c>
      <c r="CQ20" s="143">
        <v>2009</v>
      </c>
      <c r="CR20" s="143">
        <v>2010</v>
      </c>
      <c r="CS20" s="143">
        <v>2011</v>
      </c>
      <c r="CT20" s="144">
        <v>2012</v>
      </c>
      <c r="CU20" s="150"/>
      <c r="CV20" s="150" t="s">
        <v>142</v>
      </c>
      <c r="CW20" s="150" t="s">
        <v>143</v>
      </c>
      <c r="CX20" s="150" t="s">
        <v>144</v>
      </c>
      <c r="CY20" s="150"/>
      <c r="CZ20" s="150" t="s">
        <v>145</v>
      </c>
      <c r="DA20" s="150" t="s">
        <v>142</v>
      </c>
      <c r="DB20" s="150" t="s">
        <v>143</v>
      </c>
      <c r="DC20" s="150" t="s">
        <v>144</v>
      </c>
      <c r="DD20" s="150"/>
      <c r="DE20" s="150"/>
      <c r="DF20" s="150"/>
      <c r="DG20" s="150"/>
      <c r="DH20" s="150"/>
      <c r="DI20" s="150"/>
      <c r="DJ20" s="150"/>
    </row>
    <row r="21" spans="1:114" ht="15">
      <c r="A21" s="145" t="s">
        <v>284</v>
      </c>
      <c r="B21" s="146" t="s">
        <v>261</v>
      </c>
      <c r="C21" s="147">
        <v>0</v>
      </c>
      <c r="D21" s="148">
        <v>0</v>
      </c>
      <c r="E21" s="148">
        <v>0</v>
      </c>
      <c r="F21" s="148">
        <v>0</v>
      </c>
      <c r="G21" s="148">
        <v>0</v>
      </c>
      <c r="H21" s="148">
        <v>0</v>
      </c>
      <c r="I21" s="148">
        <v>0</v>
      </c>
      <c r="J21" s="148">
        <v>0</v>
      </c>
      <c r="K21" s="148">
        <v>4038819</v>
      </c>
      <c r="L21" s="148">
        <v>8658083</v>
      </c>
      <c r="M21" s="148">
        <v>11469162</v>
      </c>
      <c r="N21" s="148">
        <v>13424070</v>
      </c>
      <c r="O21" s="148">
        <v>15272774</v>
      </c>
      <c r="P21" s="148">
        <v>18400013</v>
      </c>
      <c r="Q21" s="148">
        <v>16825661</v>
      </c>
      <c r="R21" s="148">
        <v>4223274</v>
      </c>
      <c r="S21" s="148">
        <v>1255405</v>
      </c>
      <c r="T21" s="148">
        <v>160410</v>
      </c>
      <c r="U21" s="148">
        <v>0</v>
      </c>
      <c r="V21" s="148">
        <v>0</v>
      </c>
      <c r="W21" s="148">
        <v>0</v>
      </c>
      <c r="X21" s="148">
        <v>0</v>
      </c>
      <c r="Y21" s="148">
        <v>0</v>
      </c>
      <c r="Z21" s="148">
        <v>0</v>
      </c>
      <c r="AA21" s="148">
        <v>0</v>
      </c>
      <c r="AB21" s="148">
        <v>0</v>
      </c>
      <c r="AC21" s="148">
        <v>0</v>
      </c>
      <c r="AD21" s="148">
        <v>179338</v>
      </c>
      <c r="AE21" s="148">
        <v>0</v>
      </c>
      <c r="AF21" s="148">
        <v>10240900</v>
      </c>
      <c r="AG21" s="148">
        <v>720512</v>
      </c>
      <c r="AH21" s="148">
        <v>56672</v>
      </c>
      <c r="AI21" s="148">
        <v>1858646</v>
      </c>
      <c r="AJ21" s="148">
        <v>2033844</v>
      </c>
      <c r="AK21" s="148">
        <v>603095</v>
      </c>
      <c r="AL21" s="148">
        <v>418759</v>
      </c>
      <c r="AM21" s="148">
        <v>577005</v>
      </c>
      <c r="AN21" s="148">
        <v>589772</v>
      </c>
      <c r="AO21" s="148">
        <v>531402</v>
      </c>
      <c r="AP21" s="148">
        <v>570728</v>
      </c>
      <c r="AQ21" s="148">
        <v>660014</v>
      </c>
      <c r="AR21" s="148">
        <v>550085</v>
      </c>
      <c r="AS21" s="148">
        <v>854023</v>
      </c>
      <c r="AT21" s="148">
        <v>485934</v>
      </c>
      <c r="AU21" s="148">
        <v>139942</v>
      </c>
      <c r="AV21" s="148">
        <v>5903</v>
      </c>
      <c r="AW21" s="149">
        <v>5167</v>
      </c>
      <c r="AX21" s="152" t="s">
        <v>79</v>
      </c>
      <c r="AY21" s="153" t="s">
        <v>79</v>
      </c>
      <c r="AZ21" s="154">
        <f t="shared" ref="AZ21:CT26" si="4">C59/SUM(C$59:C$64)</f>
        <v>3.2988477488742639E-2</v>
      </c>
      <c r="BA21" s="154">
        <f t="shared" si="4"/>
        <v>2.8008219136295906E-2</v>
      </c>
      <c r="BB21" s="154">
        <f t="shared" si="4"/>
        <v>2.9247314860320374E-2</v>
      </c>
      <c r="BC21" s="154">
        <f t="shared" si="4"/>
        <v>2.6512036055193176E-2</v>
      </c>
      <c r="BD21" s="154">
        <f t="shared" si="4"/>
        <v>2.3021272490604039E-2</v>
      </c>
      <c r="BE21" s="154">
        <f t="shared" si="4"/>
        <v>2.1128670835618996E-2</v>
      </c>
      <c r="BF21" s="154">
        <f t="shared" si="4"/>
        <v>2.2743088401453445E-2</v>
      </c>
      <c r="BG21" s="154">
        <f t="shared" si="4"/>
        <v>2.231918385476685E-2</v>
      </c>
      <c r="BH21" s="154">
        <f t="shared" si="4"/>
        <v>2.0172163764593184E-2</v>
      </c>
      <c r="BI21" s="154">
        <f t="shared" si="4"/>
        <v>1.6804482254449384E-2</v>
      </c>
      <c r="BJ21" s="154">
        <f t="shared" si="4"/>
        <v>1.8494531926320418E-2</v>
      </c>
      <c r="BK21" s="154">
        <f t="shared" si="4"/>
        <v>2.1274951671942294E-2</v>
      </c>
      <c r="BL21" s="154">
        <f t="shared" si="4"/>
        <v>2.0974148960440059E-2</v>
      </c>
      <c r="BM21" s="154">
        <f t="shared" si="4"/>
        <v>1.7974262998814199E-2</v>
      </c>
      <c r="BN21" s="154">
        <f t="shared" si="4"/>
        <v>2.1602424257766727E-2</v>
      </c>
      <c r="BO21" s="154">
        <f t="shared" si="4"/>
        <v>2.2367210394707501E-2</v>
      </c>
      <c r="BP21" s="154">
        <f t="shared" si="4"/>
        <v>2.5851983120397923E-2</v>
      </c>
      <c r="BQ21" s="154">
        <f t="shared" si="4"/>
        <v>2.1892159821625116E-2</v>
      </c>
      <c r="BR21" s="154">
        <f t="shared" si="4"/>
        <v>2.2862047014854441E-2</v>
      </c>
      <c r="BS21" s="154">
        <f t="shared" si="4"/>
        <v>2.1747379311276412E-2</v>
      </c>
      <c r="BT21" s="154">
        <f t="shared" si="4"/>
        <v>2.2518489803622664E-2</v>
      </c>
      <c r="BU21" s="154">
        <f t="shared" si="4"/>
        <v>2.3842780012971378E-2</v>
      </c>
      <c r="BV21" s="154">
        <f t="shared" si="4"/>
        <v>2.2136254569772678E-2</v>
      </c>
      <c r="BW21" s="154">
        <f t="shared" si="4"/>
        <v>1.9669338522627099E-2</v>
      </c>
      <c r="BX21" s="154">
        <f t="shared" si="4"/>
        <v>2.0573268161460264E-2</v>
      </c>
      <c r="BY21" s="154">
        <f t="shared" si="4"/>
        <v>1.9478061508629428E-2</v>
      </c>
      <c r="BZ21" s="154">
        <f t="shared" si="4"/>
        <v>1.778756804096367E-2</v>
      </c>
      <c r="CA21" s="154">
        <f t="shared" si="4"/>
        <v>2.0509463528101825E-2</v>
      </c>
      <c r="CB21" s="154">
        <f t="shared" si="4"/>
        <v>1.9720566024033059E-2</v>
      </c>
      <c r="CC21" s="154">
        <f t="shared" si="4"/>
        <v>1.7795895417559469E-2</v>
      </c>
      <c r="CD21" s="154">
        <f t="shared" si="4"/>
        <v>1.6991531381570567E-2</v>
      </c>
      <c r="CE21" s="154">
        <f t="shared" si="4"/>
        <v>2.3499905794932455E-2</v>
      </c>
      <c r="CF21" s="154">
        <f t="shared" si="4"/>
        <v>2.0419163344182142E-2</v>
      </c>
      <c r="CG21" s="154">
        <f t="shared" si="4"/>
        <v>2.3305671453114872E-2</v>
      </c>
      <c r="CH21" s="154">
        <f t="shared" si="4"/>
        <v>2.6209679369957096E-2</v>
      </c>
      <c r="CI21" s="154">
        <f t="shared" si="4"/>
        <v>2.5489299544864792E-2</v>
      </c>
      <c r="CJ21" s="154">
        <f t="shared" si="4"/>
        <v>2.3423570547292102E-2</v>
      </c>
      <c r="CK21" s="154">
        <f t="shared" si="4"/>
        <v>2.5213819640943984E-2</v>
      </c>
      <c r="CL21" s="154">
        <f t="shared" si="4"/>
        <v>2.5902539048912456E-2</v>
      </c>
      <c r="CM21" s="154">
        <f t="shared" si="4"/>
        <v>2.1427464047289301E-2</v>
      </c>
      <c r="CN21" s="154">
        <f t="shared" si="4"/>
        <v>2.2712450145405669E-2</v>
      </c>
      <c r="CO21" s="154">
        <f t="shared" si="4"/>
        <v>2.2407386980394781E-2</v>
      </c>
      <c r="CP21" s="154">
        <f t="shared" si="4"/>
        <v>1.7177091872849815E-2</v>
      </c>
      <c r="CQ21" s="154">
        <f t="shared" si="4"/>
        <v>2.0455551757717936E-2</v>
      </c>
      <c r="CR21" s="154">
        <f t="shared" si="4"/>
        <v>2.2963077063261395E-2</v>
      </c>
      <c r="CS21" s="154">
        <f t="shared" si="4"/>
        <v>2.0009641213521421E-2</v>
      </c>
      <c r="CT21" s="154">
        <f t="shared" si="4"/>
        <v>2.1959855754299481E-2</v>
      </c>
      <c r="CV21" s="155">
        <f t="shared" ref="CV21:CV28" si="5">MIN(AZ21:CT21)</f>
        <v>1.6804482254449384E-2</v>
      </c>
      <c r="CW21" s="155">
        <f t="shared" ref="CW21:CW26" si="6">AVERAGE(AZ21:CT21)</f>
        <v>2.2161391344051807E-2</v>
      </c>
      <c r="CX21" s="155">
        <f t="shared" ref="CX21:CX26" si="7">MAX(AZ21:CT21)</f>
        <v>3.2988477488742639E-2</v>
      </c>
      <c r="DA21" s="155">
        <f t="shared" ref="DA21:DA28" si="8">MIN(CF21:CT21)</f>
        <v>1.7177091872849815E-2</v>
      </c>
      <c r="DB21" s="155">
        <f t="shared" ref="DB21:DB28" si="9">AVERAGE(CF21:CT21)</f>
        <v>2.2605084118933819E-2</v>
      </c>
      <c r="DC21" s="155">
        <f t="shared" ref="DC21:DC28" si="10">MAX(CF21:CT21)</f>
        <v>2.6209679369957096E-2</v>
      </c>
      <c r="DE21" s="459" t="s">
        <v>673</v>
      </c>
      <c r="DF21" s="460" t="s">
        <v>79</v>
      </c>
    </row>
    <row r="22" spans="1:114" ht="15">
      <c r="A22" s="145" t="s">
        <v>284</v>
      </c>
      <c r="B22" s="146" t="s">
        <v>262</v>
      </c>
      <c r="C22" s="147">
        <v>0</v>
      </c>
      <c r="D22" s="148">
        <v>0</v>
      </c>
      <c r="E22" s="148">
        <v>0</v>
      </c>
      <c r="F22" s="148">
        <v>0</v>
      </c>
      <c r="G22" s="148">
        <v>0</v>
      </c>
      <c r="H22" s="148">
        <v>0</v>
      </c>
      <c r="I22" s="148">
        <v>0</v>
      </c>
      <c r="J22" s="148">
        <v>0</v>
      </c>
      <c r="K22" s="148">
        <v>0</v>
      </c>
      <c r="L22" s="148">
        <v>16323187</v>
      </c>
      <c r="M22" s="148">
        <v>15047699</v>
      </c>
      <c r="N22" s="148">
        <v>15637362</v>
      </c>
      <c r="O22" s="148">
        <v>13193154</v>
      </c>
      <c r="P22" s="148">
        <v>14051245</v>
      </c>
      <c r="Q22" s="148">
        <v>11201509</v>
      </c>
      <c r="R22" s="148">
        <v>13766937</v>
      </c>
      <c r="S22" s="148">
        <v>13831447</v>
      </c>
      <c r="T22" s="148">
        <v>12413750</v>
      </c>
      <c r="U22" s="148">
        <v>13392263</v>
      </c>
      <c r="V22" s="148">
        <v>11667536</v>
      </c>
      <c r="W22" s="148">
        <v>13168000</v>
      </c>
      <c r="X22" s="148">
        <v>13253000</v>
      </c>
      <c r="Y22" s="148">
        <v>13619000</v>
      </c>
      <c r="Z22" s="148">
        <v>14632000</v>
      </c>
      <c r="AA22" s="148">
        <v>14169000</v>
      </c>
      <c r="AB22" s="148">
        <v>14537000</v>
      </c>
      <c r="AC22" s="148">
        <v>14865000</v>
      </c>
      <c r="AD22" s="148">
        <v>15405000</v>
      </c>
      <c r="AE22" s="148">
        <v>15895000</v>
      </c>
      <c r="AF22" s="148">
        <v>19345000</v>
      </c>
      <c r="AG22" s="148">
        <v>21440796</v>
      </c>
      <c r="AH22" s="148">
        <v>16905304</v>
      </c>
      <c r="AI22" s="148">
        <v>15225340</v>
      </c>
      <c r="AJ22" s="148">
        <v>15723812</v>
      </c>
      <c r="AK22" s="148">
        <v>15556268</v>
      </c>
      <c r="AL22" s="148">
        <v>15755428</v>
      </c>
      <c r="AM22" s="148">
        <v>15197000</v>
      </c>
      <c r="AN22" s="148">
        <v>16554512</v>
      </c>
      <c r="AO22" s="148">
        <v>15890576</v>
      </c>
      <c r="AP22" s="148">
        <v>15347072</v>
      </c>
      <c r="AQ22" s="148">
        <v>16115632</v>
      </c>
      <c r="AR22" s="148">
        <v>15916264</v>
      </c>
      <c r="AS22" s="148">
        <v>14782248</v>
      </c>
      <c r="AT22" s="148">
        <v>15419352</v>
      </c>
      <c r="AU22" s="148">
        <v>13679796</v>
      </c>
      <c r="AV22" s="148">
        <v>14957592</v>
      </c>
      <c r="AW22" s="149">
        <v>15632500</v>
      </c>
      <c r="AX22" s="152" t="s">
        <v>104</v>
      </c>
      <c r="AY22" s="153" t="s">
        <v>104</v>
      </c>
      <c r="AZ22" s="154">
        <f t="shared" si="4"/>
        <v>5.2846997229167615E-2</v>
      </c>
      <c r="BA22" s="154">
        <f t="shared" si="4"/>
        <v>3.7524041109538983E-2</v>
      </c>
      <c r="BB22" s="154">
        <f t="shared" si="4"/>
        <v>3.5428377919582942E-2</v>
      </c>
      <c r="BC22" s="154">
        <f t="shared" si="4"/>
        <v>3.7466884769569574E-2</v>
      </c>
      <c r="BD22" s="154">
        <f t="shared" si="4"/>
        <v>3.8579583484112515E-2</v>
      </c>
      <c r="BE22" s="154">
        <f t="shared" si="4"/>
        <v>2.8760908562002675E-2</v>
      </c>
      <c r="BF22" s="154">
        <f t="shared" si="4"/>
        <v>2.6279580636569329E-2</v>
      </c>
      <c r="BG22" s="154">
        <f t="shared" si="4"/>
        <v>2.6729068245373442E-2</v>
      </c>
      <c r="BH22" s="154">
        <f t="shared" si="4"/>
        <v>2.4988376960035492E-2</v>
      </c>
      <c r="BI22" s="154">
        <f t="shared" si="4"/>
        <v>2.2544351753393459E-2</v>
      </c>
      <c r="BJ22" s="154">
        <f t="shared" si="4"/>
        <v>1.4494276501082497E-2</v>
      </c>
      <c r="BK22" s="154">
        <f t="shared" si="4"/>
        <v>2.0618855553481658E-2</v>
      </c>
      <c r="BL22" s="154">
        <f t="shared" si="4"/>
        <v>2.0325654822170563E-2</v>
      </c>
      <c r="BM22" s="154">
        <f t="shared" si="4"/>
        <v>1.2108096162469061E-2</v>
      </c>
      <c r="BN22" s="154">
        <f t="shared" si="4"/>
        <v>2.0532158479420748E-2</v>
      </c>
      <c r="BO22" s="154">
        <f t="shared" si="4"/>
        <v>1.7924109404440034E-2</v>
      </c>
      <c r="BP22" s="154">
        <f t="shared" si="4"/>
        <v>2.3321705750765146E-2</v>
      </c>
      <c r="BQ22" s="154">
        <f t="shared" si="4"/>
        <v>1.7056141340036197E-2</v>
      </c>
      <c r="BR22" s="154">
        <f t="shared" si="4"/>
        <v>1.6450192246961884E-2</v>
      </c>
      <c r="BS22" s="154">
        <f t="shared" si="4"/>
        <v>2.0256999510432239E-2</v>
      </c>
      <c r="BT22" s="154">
        <f t="shared" si="4"/>
        <v>1.5159913794684768E-2</v>
      </c>
      <c r="BU22" s="154">
        <f t="shared" si="4"/>
        <v>1.7562410230185999E-2</v>
      </c>
      <c r="BV22" s="154">
        <f t="shared" si="4"/>
        <v>3.5017860855637101E-2</v>
      </c>
      <c r="BW22" s="154">
        <f t="shared" si="4"/>
        <v>3.7514889090675609E-2</v>
      </c>
      <c r="BX22" s="154">
        <f t="shared" si="4"/>
        <v>3.5827102119888078E-2</v>
      </c>
      <c r="BY22" s="154">
        <f t="shared" si="4"/>
        <v>4.3302228025177421E-2</v>
      </c>
      <c r="BZ22" s="154">
        <f t="shared" si="4"/>
        <v>5.173926352639277E-2</v>
      </c>
      <c r="CA22" s="154">
        <f t="shared" si="4"/>
        <v>3.8728612017402006E-2</v>
      </c>
      <c r="CB22" s="154">
        <f t="shared" si="4"/>
        <v>4.5456473727247836E-2</v>
      </c>
      <c r="CC22" s="154">
        <f t="shared" si="4"/>
        <v>4.2541749888150487E-2</v>
      </c>
      <c r="CD22" s="154">
        <f t="shared" si="4"/>
        <v>4.1840520535666219E-2</v>
      </c>
      <c r="CE22" s="154">
        <f t="shared" si="4"/>
        <v>3.1347166767224668E-2</v>
      </c>
      <c r="CF22" s="154">
        <f t="shared" si="4"/>
        <v>3.6493960464235059E-2</v>
      </c>
      <c r="CG22" s="154">
        <f t="shared" si="4"/>
        <v>2.8754021287538806E-2</v>
      </c>
      <c r="CH22" s="154">
        <f t="shared" si="4"/>
        <v>1.8856710271188924E-2</v>
      </c>
      <c r="CI22" s="154">
        <f t="shared" si="4"/>
        <v>1.8256981301149017E-2</v>
      </c>
      <c r="CJ22" s="154">
        <f t="shared" si="4"/>
        <v>1.8471985179919166E-2</v>
      </c>
      <c r="CK22" s="154">
        <f t="shared" si="4"/>
        <v>2.0104595461626119E-2</v>
      </c>
      <c r="CL22" s="154">
        <f t="shared" si="4"/>
        <v>2.0109974279746205E-2</v>
      </c>
      <c r="CM22" s="154">
        <f t="shared" si="4"/>
        <v>2.7620751398117156E-2</v>
      </c>
      <c r="CN22" s="154">
        <f t="shared" si="4"/>
        <v>3.2074499129942813E-2</v>
      </c>
      <c r="CO22" s="154">
        <f t="shared" si="4"/>
        <v>2.9839212256829444E-2</v>
      </c>
      <c r="CP22" s="154">
        <f t="shared" si="4"/>
        <v>7.8816209622916446E-3</v>
      </c>
      <c r="CQ22" s="154">
        <f t="shared" si="4"/>
        <v>1.0781054912565901E-2</v>
      </c>
      <c r="CR22" s="154">
        <f t="shared" si="4"/>
        <v>9.5723328931499145E-3</v>
      </c>
      <c r="CS22" s="154">
        <f t="shared" si="4"/>
        <v>2.5595789987060753E-2</v>
      </c>
      <c r="CT22" s="154">
        <f t="shared" si="4"/>
        <v>3.7578979000014598E-2</v>
      </c>
      <c r="CV22" s="155">
        <f t="shared" si="5"/>
        <v>7.8816209622916446E-3</v>
      </c>
      <c r="CW22" s="155">
        <f t="shared" si="6"/>
        <v>2.7495042974559881E-2</v>
      </c>
      <c r="CX22" s="155">
        <f t="shared" si="7"/>
        <v>5.2846997229167615E-2</v>
      </c>
      <c r="DA22" s="155">
        <f t="shared" si="8"/>
        <v>7.8816209622916446E-3</v>
      </c>
      <c r="DB22" s="155">
        <f t="shared" si="9"/>
        <v>2.2799497919025035E-2</v>
      </c>
      <c r="DC22" s="155">
        <f t="shared" si="10"/>
        <v>3.7578979000014598E-2</v>
      </c>
      <c r="DE22" s="459" t="s">
        <v>673</v>
      </c>
      <c r="DF22" s="153" t="s">
        <v>104</v>
      </c>
    </row>
    <row r="23" spans="1:114" ht="15">
      <c r="A23" s="145" t="s">
        <v>284</v>
      </c>
      <c r="B23" s="146" t="s">
        <v>79</v>
      </c>
      <c r="C23" s="147">
        <v>6676432</v>
      </c>
      <c r="D23" s="148">
        <v>7859220</v>
      </c>
      <c r="E23" s="148">
        <v>8812154</v>
      </c>
      <c r="F23" s="148">
        <v>10264856</v>
      </c>
      <c r="G23" s="148">
        <v>10175837</v>
      </c>
      <c r="H23" s="148">
        <v>9968525</v>
      </c>
      <c r="I23" s="148">
        <v>10166202</v>
      </c>
      <c r="J23" s="148">
        <v>9700915</v>
      </c>
      <c r="K23" s="148">
        <v>8423300</v>
      </c>
      <c r="L23" s="148">
        <v>6171453</v>
      </c>
      <c r="M23" s="148">
        <v>6437036</v>
      </c>
      <c r="N23" s="148">
        <v>6844652</v>
      </c>
      <c r="O23" s="148">
        <v>6503576</v>
      </c>
      <c r="P23" s="148">
        <v>6131143</v>
      </c>
      <c r="Q23" s="148">
        <v>5656140</v>
      </c>
      <c r="R23" s="148">
        <v>5327136</v>
      </c>
      <c r="S23" s="148">
        <v>6013331</v>
      </c>
      <c r="T23" s="148">
        <v>6021303</v>
      </c>
      <c r="U23" s="148">
        <v>6790510</v>
      </c>
      <c r="V23" s="148">
        <v>6072893</v>
      </c>
      <c r="W23" s="148">
        <v>6973048</v>
      </c>
      <c r="X23" s="148">
        <v>7333320</v>
      </c>
      <c r="Y23" s="148">
        <v>7146560</v>
      </c>
      <c r="Z23" s="148">
        <v>6589612</v>
      </c>
      <c r="AA23" s="148">
        <v>6511902</v>
      </c>
      <c r="AB23" s="148">
        <v>6413318</v>
      </c>
      <c r="AC23" s="148">
        <v>6058795</v>
      </c>
      <c r="AD23" s="148">
        <v>7202518</v>
      </c>
      <c r="AE23" s="148">
        <v>7082177</v>
      </c>
      <c r="AF23" s="148">
        <v>6898514</v>
      </c>
      <c r="AG23" s="148">
        <v>7400480</v>
      </c>
      <c r="AH23" s="148">
        <v>8277608</v>
      </c>
      <c r="AI23" s="148">
        <v>6549250</v>
      </c>
      <c r="AJ23" s="148">
        <v>7471320</v>
      </c>
      <c r="AK23" s="148">
        <v>8669068</v>
      </c>
      <c r="AL23" s="148">
        <v>8428948</v>
      </c>
      <c r="AM23" s="148">
        <v>7411934</v>
      </c>
      <c r="AN23" s="148">
        <v>8359488</v>
      </c>
      <c r="AO23" s="148">
        <v>8345734</v>
      </c>
      <c r="AP23" s="148">
        <v>6656522</v>
      </c>
      <c r="AQ23" s="148">
        <v>7388750</v>
      </c>
      <c r="AR23" s="148">
        <v>7132808</v>
      </c>
      <c r="AS23" s="148">
        <v>5394483</v>
      </c>
      <c r="AT23" s="148">
        <v>6456683</v>
      </c>
      <c r="AU23" s="148">
        <v>6938324</v>
      </c>
      <c r="AV23" s="148">
        <v>6112342</v>
      </c>
      <c r="AW23" s="149">
        <v>7483740</v>
      </c>
      <c r="AX23" s="152" t="s">
        <v>81</v>
      </c>
      <c r="AY23" s="153" t="s">
        <v>80</v>
      </c>
      <c r="AZ23" s="154">
        <f t="shared" si="4"/>
        <v>0.18668017997868361</v>
      </c>
      <c r="BA23" s="154">
        <f t="shared" si="4"/>
        <v>0.19167031515367289</v>
      </c>
      <c r="BB23" s="154">
        <f t="shared" si="4"/>
        <v>0.17947872262134443</v>
      </c>
      <c r="BC23" s="154">
        <f t="shared" si="4"/>
        <v>0.16422528392116445</v>
      </c>
      <c r="BD23" s="154">
        <f t="shared" si="4"/>
        <v>0.14293415183864372</v>
      </c>
      <c r="BE23" s="154">
        <f t="shared" si="4"/>
        <v>0.15250918073997943</v>
      </c>
      <c r="BF23" s="154">
        <f t="shared" si="4"/>
        <v>0.15884158478118895</v>
      </c>
      <c r="BG23" s="154">
        <f t="shared" si="4"/>
        <v>0.16542340367700487</v>
      </c>
      <c r="BH23" s="154">
        <f t="shared" si="4"/>
        <v>0.1805191712939522</v>
      </c>
      <c r="BI23" s="154">
        <f t="shared" si="4"/>
        <v>0.19488191610168679</v>
      </c>
      <c r="BJ23" s="154">
        <f t="shared" si="4"/>
        <v>0.19586581847383019</v>
      </c>
      <c r="BK23" s="154">
        <f t="shared" si="4"/>
        <v>0.20403902154940196</v>
      </c>
      <c r="BL23" s="154">
        <f t="shared" si="4"/>
        <v>0.20377162862847673</v>
      </c>
      <c r="BM23" s="154">
        <f t="shared" si="4"/>
        <v>0.18575423766081717</v>
      </c>
      <c r="BN23" s="154">
        <f t="shared" si="4"/>
        <v>0.18727085236222946</v>
      </c>
      <c r="BO23" s="154">
        <f t="shared" si="4"/>
        <v>0.19437712780740624</v>
      </c>
      <c r="BP23" s="154">
        <f t="shared" si="4"/>
        <v>0.1781500143706059</v>
      </c>
      <c r="BQ23" s="154">
        <f t="shared" si="4"/>
        <v>0.18304694702645699</v>
      </c>
      <c r="BR23" s="154">
        <f t="shared" si="4"/>
        <v>0.17098902243918035</v>
      </c>
      <c r="BS23" s="154">
        <f t="shared" si="4"/>
        <v>0.18404855677925291</v>
      </c>
      <c r="BT23" s="154">
        <f t="shared" si="4"/>
        <v>0.18042686600218394</v>
      </c>
      <c r="BU23" s="154">
        <f t="shared" si="4"/>
        <v>0.19419278371338475</v>
      </c>
      <c r="BV23" s="154">
        <f t="shared" si="4"/>
        <v>0.1944929957209614</v>
      </c>
      <c r="BW23" s="154">
        <f t="shared" si="4"/>
        <v>0.19875741236618252</v>
      </c>
      <c r="BX23" s="154">
        <f t="shared" si="4"/>
        <v>0.18239036018829821</v>
      </c>
      <c r="BY23" s="154">
        <f t="shared" si="4"/>
        <v>0.18866980300169026</v>
      </c>
      <c r="BZ23" s="154">
        <f t="shared" si="4"/>
        <v>0.17760513740431311</v>
      </c>
      <c r="CA23" s="154">
        <f t="shared" si="4"/>
        <v>0.16410973222341774</v>
      </c>
      <c r="CB23" s="154">
        <f t="shared" si="4"/>
        <v>0.17148286911183941</v>
      </c>
      <c r="CC23" s="154">
        <f t="shared" si="4"/>
        <v>0.23328455284295921</v>
      </c>
      <c r="CD23" s="154">
        <f t="shared" si="4"/>
        <v>0.2720484082405874</v>
      </c>
      <c r="CE23" s="154">
        <f t="shared" si="4"/>
        <v>0.26605194905816781</v>
      </c>
      <c r="CF23" s="154">
        <f t="shared" si="4"/>
        <v>0.2571474261312609</v>
      </c>
      <c r="CG23" s="154">
        <f t="shared" si="4"/>
        <v>0.3032999624209245</v>
      </c>
      <c r="CH23" s="154">
        <f t="shared" si="4"/>
        <v>0.28178298597388085</v>
      </c>
      <c r="CI23" s="154">
        <f t="shared" si="4"/>
        <v>0.28004552495177149</v>
      </c>
      <c r="CJ23" s="154">
        <f t="shared" si="4"/>
        <v>0.27401348149916721</v>
      </c>
      <c r="CK23" s="154">
        <f t="shared" si="4"/>
        <v>0.25287884854956061</v>
      </c>
      <c r="CL23" s="154">
        <f t="shared" si="4"/>
        <v>0.25495140662481786</v>
      </c>
      <c r="CM23" s="154">
        <f t="shared" si="4"/>
        <v>0.25676485704898727</v>
      </c>
      <c r="CN23" s="154">
        <f t="shared" si="4"/>
        <v>0.28006647226985698</v>
      </c>
      <c r="CO23" s="154">
        <f t="shared" si="4"/>
        <v>0.26558235157377552</v>
      </c>
      <c r="CP23" s="154">
        <f t="shared" si="4"/>
        <v>0.28056259026738289</v>
      </c>
      <c r="CQ23" s="154">
        <f t="shared" si="4"/>
        <v>0.29049969055538422</v>
      </c>
      <c r="CR23" s="154">
        <f t="shared" si="4"/>
        <v>0.28768438137344149</v>
      </c>
      <c r="CS23" s="154">
        <f t="shared" si="4"/>
        <v>0.27400559619886539</v>
      </c>
      <c r="CT23" s="154">
        <f t="shared" si="4"/>
        <v>0.26567063269258406</v>
      </c>
      <c r="CV23" s="155">
        <f t="shared" si="5"/>
        <v>0.14293415183864372</v>
      </c>
      <c r="CW23" s="155">
        <f t="shared" si="6"/>
        <v>0.21559460032363031</v>
      </c>
      <c r="CX23" s="155">
        <f t="shared" si="7"/>
        <v>0.3032999624209245</v>
      </c>
      <c r="DA23" s="155">
        <f t="shared" si="8"/>
        <v>0.25287884854956061</v>
      </c>
      <c r="DB23" s="155">
        <f t="shared" si="9"/>
        <v>0.2736637472087774</v>
      </c>
      <c r="DC23" s="155">
        <f t="shared" si="10"/>
        <v>0.3032999624209245</v>
      </c>
      <c r="DE23" s="459" t="s">
        <v>673</v>
      </c>
      <c r="DF23" s="153" t="s">
        <v>80</v>
      </c>
    </row>
    <row r="24" spans="1:114" ht="15">
      <c r="A24" s="145" t="s">
        <v>284</v>
      </c>
      <c r="B24" s="146" t="s">
        <v>104</v>
      </c>
      <c r="C24" s="147">
        <v>9575307</v>
      </c>
      <c r="D24" s="148">
        <v>9444981</v>
      </c>
      <c r="E24" s="148">
        <v>9592968</v>
      </c>
      <c r="F24" s="148">
        <v>13028293</v>
      </c>
      <c r="G24" s="148">
        <v>15134172</v>
      </c>
      <c r="H24" s="148">
        <v>11910082</v>
      </c>
      <c r="I24" s="148">
        <v>10146244</v>
      </c>
      <c r="J24" s="148">
        <v>10021051</v>
      </c>
      <c r="K24" s="148">
        <v>8920850</v>
      </c>
      <c r="L24" s="148">
        <v>6822453</v>
      </c>
      <c r="M24" s="148">
        <v>4496073</v>
      </c>
      <c r="N24" s="148">
        <v>6061464</v>
      </c>
      <c r="O24" s="148">
        <v>6195792</v>
      </c>
      <c r="P24" s="148">
        <v>4028100</v>
      </c>
      <c r="Q24" s="148">
        <v>5375730</v>
      </c>
      <c r="R24" s="148">
        <v>4268786</v>
      </c>
      <c r="S24" s="148">
        <v>5424624</v>
      </c>
      <c r="T24" s="148">
        <v>4691084</v>
      </c>
      <c r="U24" s="148">
        <v>4885964</v>
      </c>
      <c r="V24" s="148">
        <v>5656610</v>
      </c>
      <c r="W24" s="148">
        <v>4694261</v>
      </c>
      <c r="X24" s="148">
        <v>5401499</v>
      </c>
      <c r="Y24" s="148">
        <v>11304914</v>
      </c>
      <c r="Z24" s="148">
        <v>12567468</v>
      </c>
      <c r="AA24" s="148">
        <v>11339312</v>
      </c>
      <c r="AB24" s="148">
        <v>14225315</v>
      </c>
      <c r="AC24" s="148">
        <v>17570959</v>
      </c>
      <c r="AD24" s="148">
        <v>13556836</v>
      </c>
      <c r="AE24" s="148">
        <v>16260478</v>
      </c>
      <c r="AF24" s="148">
        <v>16423526</v>
      </c>
      <c r="AG24" s="148">
        <v>18222884</v>
      </c>
      <c r="AH24" s="148">
        <v>11039632</v>
      </c>
      <c r="AI24" s="148">
        <v>11702561</v>
      </c>
      <c r="AJ24" s="148">
        <v>14012338</v>
      </c>
      <c r="AK24" s="148">
        <v>12630168</v>
      </c>
      <c r="AL24" s="148">
        <v>13127500</v>
      </c>
      <c r="AM24" s="148">
        <v>10743858</v>
      </c>
      <c r="AN24" s="148">
        <v>9604702</v>
      </c>
      <c r="AO24" s="148">
        <v>8344863</v>
      </c>
      <c r="AP24" s="148">
        <v>10400184</v>
      </c>
      <c r="AQ24" s="148">
        <v>11758814</v>
      </c>
      <c r="AR24" s="148">
        <v>10910845</v>
      </c>
      <c r="AS24" s="148">
        <v>12460072</v>
      </c>
      <c r="AT24" s="148">
        <v>12102315</v>
      </c>
      <c r="AU24" s="148">
        <v>12128322</v>
      </c>
      <c r="AV24" s="148">
        <v>16458691</v>
      </c>
      <c r="AW24" s="149">
        <v>19521794</v>
      </c>
      <c r="AX24" s="152" t="s">
        <v>100</v>
      </c>
      <c r="AY24" s="153" t="s">
        <v>83</v>
      </c>
      <c r="AZ24" s="154">
        <f t="shared" si="4"/>
        <v>2.7642624574246918E-2</v>
      </c>
      <c r="BA24" s="154">
        <f t="shared" si="4"/>
        <v>2.9365829358680508E-2</v>
      </c>
      <c r="BB24" s="154">
        <f t="shared" si="4"/>
        <v>2.6949570255813869E-2</v>
      </c>
      <c r="BC24" s="154">
        <f t="shared" si="4"/>
        <v>2.5271265303359793E-2</v>
      </c>
      <c r="BD24" s="154">
        <f t="shared" si="4"/>
        <v>1.932677765557508E-2</v>
      </c>
      <c r="BE24" s="154">
        <f t="shared" si="4"/>
        <v>1.8593760730177981E-2</v>
      </c>
      <c r="BF24" s="154">
        <f t="shared" si="4"/>
        <v>1.925777873133001E-2</v>
      </c>
      <c r="BG24" s="154">
        <f t="shared" si="4"/>
        <v>1.543359113171958E-2</v>
      </c>
      <c r="BH24" s="154">
        <f t="shared" si="4"/>
        <v>1.221565064694668E-2</v>
      </c>
      <c r="BI24" s="154">
        <f t="shared" si="4"/>
        <v>1.3888463855950694E-2</v>
      </c>
      <c r="BJ24" s="154">
        <f t="shared" si="4"/>
        <v>1.5689564227819221E-2</v>
      </c>
      <c r="BK24" s="154">
        <f t="shared" si="4"/>
        <v>1.4267574220998835E-2</v>
      </c>
      <c r="BL24" s="154">
        <f t="shared" si="4"/>
        <v>1.389269059994234E-2</v>
      </c>
      <c r="BM24" s="154">
        <f t="shared" si="4"/>
        <v>1.3170368857619569E-2</v>
      </c>
      <c r="BN24" s="154">
        <f t="shared" si="4"/>
        <v>1.0586073876636772E-2</v>
      </c>
      <c r="BO24" s="154">
        <f t="shared" si="4"/>
        <v>4.0674610131076778E-3</v>
      </c>
      <c r="BP24" s="154">
        <f t="shared" si="4"/>
        <v>7.5891339130839137E-3</v>
      </c>
      <c r="BQ24" s="154">
        <f t="shared" si="4"/>
        <v>1.036375636828773E-2</v>
      </c>
      <c r="BR24" s="154">
        <f t="shared" si="4"/>
        <v>2.7990120802301111E-2</v>
      </c>
      <c r="BS24" s="154">
        <f t="shared" si="4"/>
        <v>4.0489385982731177E-2</v>
      </c>
      <c r="BT24" s="154">
        <f t="shared" si="4"/>
        <v>3.2703525285536959E-2</v>
      </c>
      <c r="BU24" s="154">
        <f t="shared" si="4"/>
        <v>4.2284198548242752E-2</v>
      </c>
      <c r="BV24" s="154">
        <f t="shared" si="4"/>
        <v>3.6636537778295994E-2</v>
      </c>
      <c r="BW24" s="154">
        <f t="shared" si="4"/>
        <v>3.6184657139354107E-2</v>
      </c>
      <c r="BX24" s="154">
        <f t="shared" si="4"/>
        <v>4.5624696600440579E-2</v>
      </c>
      <c r="BY24" s="154">
        <f t="shared" si="4"/>
        <v>2.6483025776163377E-2</v>
      </c>
      <c r="BZ24" s="154">
        <f t="shared" si="4"/>
        <v>1.7615530392277021E-2</v>
      </c>
      <c r="CA24" s="154">
        <f t="shared" si="4"/>
        <v>2.3354995374335975E-2</v>
      </c>
      <c r="CB24" s="154">
        <f t="shared" si="4"/>
        <v>3.0964542837428936E-2</v>
      </c>
      <c r="CC24" s="154">
        <f t="shared" si="4"/>
        <v>3.0330262684781069E-2</v>
      </c>
      <c r="CD24" s="154">
        <f t="shared" si="4"/>
        <v>4.2882659895348854E-2</v>
      </c>
      <c r="CE24" s="154">
        <f t="shared" si="4"/>
        <v>5.5450999836021024E-2</v>
      </c>
      <c r="CF24" s="154">
        <f t="shared" si="4"/>
        <v>5.752907565715995E-2</v>
      </c>
      <c r="CG24" s="154">
        <f t="shared" si="4"/>
        <v>8.2656034887786903E-2</v>
      </c>
      <c r="CH24" s="154">
        <f t="shared" si="4"/>
        <v>7.5696362040342566E-2</v>
      </c>
      <c r="CI24" s="154">
        <f t="shared" si="4"/>
        <v>7.9692044932276176E-2</v>
      </c>
      <c r="CJ24" s="154">
        <f t="shared" si="4"/>
        <v>8.0084469990764157E-2</v>
      </c>
      <c r="CK24" s="154">
        <f t="shared" si="4"/>
        <v>8.4916147464492317E-2</v>
      </c>
      <c r="CL24" s="154">
        <f t="shared" si="4"/>
        <v>8.2747355921819074E-2</v>
      </c>
      <c r="CM24" s="154">
        <f t="shared" si="4"/>
        <v>9.0572985472252079E-2</v>
      </c>
      <c r="CN24" s="154">
        <f t="shared" si="4"/>
        <v>7.7741693787451008E-2</v>
      </c>
      <c r="CO24" s="154">
        <f t="shared" si="4"/>
        <v>7.2054753605048372E-2</v>
      </c>
      <c r="CP24" s="154">
        <f t="shared" si="4"/>
        <v>8.2714111469160162E-2</v>
      </c>
      <c r="CQ24" s="154">
        <f t="shared" si="4"/>
        <v>5.5209833844451016E-2</v>
      </c>
      <c r="CR24" s="154">
        <f t="shared" si="4"/>
        <v>0.10953963139753704</v>
      </c>
      <c r="CS24" s="154">
        <f t="shared" si="4"/>
        <v>0.12513263625088755</v>
      </c>
      <c r="CT24" s="154">
        <f t="shared" si="4"/>
        <v>0.10111975211050818</v>
      </c>
      <c r="CV24" s="155">
        <f t="shared" si="5"/>
        <v>4.0674610131076778E-3</v>
      </c>
      <c r="CW24" s="155">
        <f t="shared" si="6"/>
        <v>4.3488807725244522E-2</v>
      </c>
      <c r="CX24" s="155">
        <f t="shared" si="7"/>
        <v>0.12513263625088755</v>
      </c>
      <c r="DA24" s="155">
        <f t="shared" si="8"/>
        <v>5.5209833844451016E-2</v>
      </c>
      <c r="DB24" s="155">
        <f t="shared" si="9"/>
        <v>8.3827125922129112E-2</v>
      </c>
      <c r="DC24" s="155">
        <f t="shared" si="10"/>
        <v>0.12513263625088755</v>
      </c>
      <c r="DE24" s="459" t="s">
        <v>673</v>
      </c>
      <c r="DF24" s="153" t="s">
        <v>83</v>
      </c>
    </row>
    <row r="25" spans="1:114" ht="15">
      <c r="A25" s="145" t="s">
        <v>284</v>
      </c>
      <c r="B25" s="146" t="s">
        <v>81</v>
      </c>
      <c r="C25" s="147">
        <v>33833131</v>
      </c>
      <c r="D25" s="148">
        <v>48252857</v>
      </c>
      <c r="E25" s="148">
        <v>48605703</v>
      </c>
      <c r="F25" s="148">
        <v>57113486</v>
      </c>
      <c r="G25" s="148">
        <v>56078535</v>
      </c>
      <c r="H25" s="148">
        <v>63162041</v>
      </c>
      <c r="I25" s="148">
        <v>61333145</v>
      </c>
      <c r="J25" s="148">
        <v>62025366</v>
      </c>
      <c r="K25" s="148">
        <v>64450529</v>
      </c>
      <c r="L25" s="148">
        <v>58982042</v>
      </c>
      <c r="M25" s="148">
        <v>60762674</v>
      </c>
      <c r="N25" s="148">
        <v>59988391</v>
      </c>
      <c r="O25" s="148">
        <v>62120632</v>
      </c>
      <c r="P25" s="148">
        <v>61801669</v>
      </c>
      <c r="Q25" s="148">
        <v>49035342</v>
      </c>
      <c r="R25" s="148">
        <v>46296245</v>
      </c>
      <c r="S25" s="148">
        <v>41441026</v>
      </c>
      <c r="T25" s="148">
        <v>50348621</v>
      </c>
      <c r="U25" s="148">
        <v>50790859</v>
      </c>
      <c r="V25" s="148">
        <v>51399589</v>
      </c>
      <c r="W25" s="148">
        <v>55876208</v>
      </c>
      <c r="X25" s="148">
        <v>59738623</v>
      </c>
      <c r="Y25" s="148">
        <v>62800133</v>
      </c>
      <c r="Z25" s="148">
        <v>66589578</v>
      </c>
      <c r="AA25" s="148">
        <v>57733207</v>
      </c>
      <c r="AB25" s="148">
        <v>61986505</v>
      </c>
      <c r="AC25" s="148">
        <v>60322159</v>
      </c>
      <c r="AD25" s="148">
        <v>57452942</v>
      </c>
      <c r="AE25" s="148">
        <v>61346060</v>
      </c>
      <c r="AF25" s="148">
        <v>90062568</v>
      </c>
      <c r="AG25" s="148">
        <v>118487749</v>
      </c>
      <c r="AH25" s="148">
        <v>93698328</v>
      </c>
      <c r="AI25" s="148">
        <v>82462254</v>
      </c>
      <c r="AJ25" s="148">
        <v>97227631</v>
      </c>
      <c r="AK25" s="148">
        <v>93201560</v>
      </c>
      <c r="AL25" s="148">
        <v>92606253</v>
      </c>
      <c r="AM25" s="148">
        <v>86713258</v>
      </c>
      <c r="AN25" s="148">
        <v>83845092</v>
      </c>
      <c r="AO25" s="148">
        <v>82150218</v>
      </c>
      <c r="AP25" s="148">
        <v>79768943</v>
      </c>
      <c r="AQ25" s="148">
        <v>91113286</v>
      </c>
      <c r="AR25" s="148">
        <v>84545651</v>
      </c>
      <c r="AS25" s="148">
        <v>88114059</v>
      </c>
      <c r="AT25" s="148">
        <v>91697205</v>
      </c>
      <c r="AU25" s="148">
        <v>86925896</v>
      </c>
      <c r="AV25" s="148">
        <v>83704909</v>
      </c>
      <c r="AW25" s="149">
        <v>90540929</v>
      </c>
      <c r="AX25" s="152" t="s">
        <v>51</v>
      </c>
      <c r="AY25" s="153" t="s">
        <v>45</v>
      </c>
      <c r="AZ25" s="154">
        <f t="shared" si="4"/>
        <v>0.25645133939662584</v>
      </c>
      <c r="BA25" s="154">
        <f t="shared" si="4"/>
        <v>0.28057164966262682</v>
      </c>
      <c r="BB25" s="154">
        <f t="shared" si="4"/>
        <v>0.28773843829364765</v>
      </c>
      <c r="BC25" s="154">
        <f t="shared" si="4"/>
        <v>0.28841031985739113</v>
      </c>
      <c r="BD25" s="154">
        <f t="shared" si="4"/>
        <v>0.28422274789741619</v>
      </c>
      <c r="BE25" s="154">
        <f t="shared" si="4"/>
        <v>0.32735663873677279</v>
      </c>
      <c r="BF25" s="154">
        <f t="shared" si="4"/>
        <v>0.34518717929714071</v>
      </c>
      <c r="BG25" s="154">
        <f t="shared" si="4"/>
        <v>0.36789294202980316</v>
      </c>
      <c r="BH25" s="154">
        <f t="shared" si="4"/>
        <v>0.38789789053683887</v>
      </c>
      <c r="BI25" s="154">
        <f t="shared" si="4"/>
        <v>0.42770290506584907</v>
      </c>
      <c r="BJ25" s="154">
        <f t="shared" si="4"/>
        <v>0.44244952042357727</v>
      </c>
      <c r="BK25" s="154">
        <f t="shared" si="4"/>
        <v>0.45914864768741248</v>
      </c>
      <c r="BL25" s="154">
        <f t="shared" si="4"/>
        <v>0.45093222533231508</v>
      </c>
      <c r="BM25" s="154">
        <f t="shared" si="4"/>
        <v>0.46196496236017609</v>
      </c>
      <c r="BN25" s="154">
        <f t="shared" si="4"/>
        <v>0.4540248418672258</v>
      </c>
      <c r="BO25" s="154">
        <f t="shared" si="4"/>
        <v>0.48066935061714472</v>
      </c>
      <c r="BP25" s="154">
        <f t="shared" si="4"/>
        <v>0.47108159974482522</v>
      </c>
      <c r="BQ25" s="154">
        <f t="shared" si="4"/>
        <v>0.47277981300491967</v>
      </c>
      <c r="BR25" s="154">
        <f t="shared" si="4"/>
        <v>0.47245731189952883</v>
      </c>
      <c r="BS25" s="154">
        <f t="shared" si="4"/>
        <v>0.46113000724918968</v>
      </c>
      <c r="BT25" s="154">
        <f t="shared" si="4"/>
        <v>0.47344931036626225</v>
      </c>
      <c r="BU25" s="154">
        <f t="shared" si="4"/>
        <v>0.43423315252127165</v>
      </c>
      <c r="BV25" s="154">
        <f t="shared" si="4"/>
        <v>0.41091234478598421</v>
      </c>
      <c r="BW25" s="154">
        <f t="shared" si="4"/>
        <v>0.41171465014044756</v>
      </c>
      <c r="BX25" s="154">
        <f t="shared" si="4"/>
        <v>0.4414023535613103</v>
      </c>
      <c r="BY25" s="154">
        <f t="shared" si="4"/>
        <v>0.47362484689348522</v>
      </c>
      <c r="BZ25" s="154">
        <f t="shared" si="4"/>
        <v>0.49162041494232356</v>
      </c>
      <c r="CA25" s="154">
        <f t="shared" si="4"/>
        <v>0.49332581701019385</v>
      </c>
      <c r="CB25" s="154">
        <f t="shared" si="4"/>
        <v>0.48242217266270387</v>
      </c>
      <c r="CC25" s="154">
        <f t="shared" si="4"/>
        <v>0.45832203393417409</v>
      </c>
      <c r="CD25" s="154">
        <f t="shared" si="4"/>
        <v>0.44780525659790726</v>
      </c>
      <c r="CE25" s="154">
        <f t="shared" si="4"/>
        <v>0.46602233351663991</v>
      </c>
      <c r="CF25" s="154">
        <f t="shared" si="4"/>
        <v>0.43563404842412246</v>
      </c>
      <c r="CG25" s="154">
        <f t="shared" si="4"/>
        <v>0.37712497539959222</v>
      </c>
      <c r="CH25" s="154">
        <f t="shared" si="4"/>
        <v>0.38914202552242272</v>
      </c>
      <c r="CI25" s="154">
        <f t="shared" si="4"/>
        <v>0.39786795126969371</v>
      </c>
      <c r="CJ25" s="154">
        <f t="shared" si="4"/>
        <v>0.3962468117604378</v>
      </c>
      <c r="CK25" s="154">
        <f t="shared" si="4"/>
        <v>0.41315932457565641</v>
      </c>
      <c r="CL25" s="154">
        <f t="shared" si="4"/>
        <v>0.4138814904499008</v>
      </c>
      <c r="CM25" s="154">
        <f t="shared" si="4"/>
        <v>0.40072993809803015</v>
      </c>
      <c r="CN25" s="154">
        <f t="shared" si="4"/>
        <v>0.39675085897917917</v>
      </c>
      <c r="CO25" s="154">
        <f t="shared" si="4"/>
        <v>0.43232634460278896</v>
      </c>
      <c r="CP25" s="154">
        <f t="shared" si="4"/>
        <v>0.37049313457542904</v>
      </c>
      <c r="CQ25" s="154">
        <f t="shared" si="4"/>
        <v>0.42174228212268494</v>
      </c>
      <c r="CR25" s="154">
        <f t="shared" si="4"/>
        <v>0.38762795666507732</v>
      </c>
      <c r="CS25" s="154">
        <f t="shared" si="4"/>
        <v>0.39938963533372662</v>
      </c>
      <c r="CT25" s="154">
        <f t="shared" si="4"/>
        <v>0.42727798049258547</v>
      </c>
      <c r="CV25" s="155">
        <f t="shared" si="5"/>
        <v>0.25645133939662584</v>
      </c>
      <c r="CW25" s="155">
        <f t="shared" si="6"/>
        <v>0.41328339949286091</v>
      </c>
      <c r="CX25" s="155">
        <f t="shared" si="7"/>
        <v>0.49332581701019385</v>
      </c>
      <c r="DA25" s="155">
        <f t="shared" si="8"/>
        <v>0.37049313457542904</v>
      </c>
      <c r="DB25" s="155">
        <f t="shared" si="9"/>
        <v>0.40395965055142186</v>
      </c>
      <c r="DC25" s="155">
        <f>MAX(CF25:CT25)</f>
        <v>0.43563404842412246</v>
      </c>
      <c r="DE25" s="459" t="s">
        <v>673</v>
      </c>
      <c r="DF25" s="153" t="s">
        <v>45</v>
      </c>
    </row>
    <row r="26" spans="1:114" ht="15">
      <c r="A26" s="145" t="s">
        <v>284</v>
      </c>
      <c r="B26" s="146" t="s">
        <v>100</v>
      </c>
      <c r="C26" s="147">
        <v>5008546</v>
      </c>
      <c r="D26" s="148">
        <v>7391520</v>
      </c>
      <c r="E26" s="148">
        <v>7297155</v>
      </c>
      <c r="F26" s="148">
        <v>8787532</v>
      </c>
      <c r="G26" s="148">
        <v>7581595</v>
      </c>
      <c r="H26" s="148">
        <v>7699799</v>
      </c>
      <c r="I26" s="148">
        <v>7435207</v>
      </c>
      <c r="J26" s="148">
        <v>5786240</v>
      </c>
      <c r="K26" s="148">
        <v>4360987</v>
      </c>
      <c r="L26" s="148">
        <v>4202977</v>
      </c>
      <c r="M26" s="148">
        <v>4866847</v>
      </c>
      <c r="N26" s="148">
        <v>4194335</v>
      </c>
      <c r="O26" s="148">
        <v>4234856</v>
      </c>
      <c r="P26" s="148">
        <v>4381495</v>
      </c>
      <c r="Q26" s="148">
        <v>2771646</v>
      </c>
      <c r="R26" s="148">
        <v>968702</v>
      </c>
      <c r="S26" s="148">
        <v>1765231</v>
      </c>
      <c r="T26" s="148">
        <v>2850425</v>
      </c>
      <c r="U26" s="148">
        <v>8313503</v>
      </c>
      <c r="V26" s="148">
        <v>11306347</v>
      </c>
      <c r="W26" s="148">
        <v>10126633</v>
      </c>
      <c r="X26" s="148">
        <v>13004938</v>
      </c>
      <c r="Y26" s="148">
        <v>11827476</v>
      </c>
      <c r="Z26" s="148">
        <v>12121841</v>
      </c>
      <c r="AA26" s="148">
        <v>14440260</v>
      </c>
      <c r="AB26" s="148">
        <v>8700000</v>
      </c>
      <c r="AC26" s="148">
        <v>5982338</v>
      </c>
      <c r="AD26" s="148">
        <v>8175347</v>
      </c>
      <c r="AE26" s="148">
        <v>11076492</v>
      </c>
      <c r="AF26" s="148">
        <v>11709200</v>
      </c>
      <c r="AG26" s="148">
        <v>18676769</v>
      </c>
      <c r="AH26" s="148">
        <v>19528356</v>
      </c>
      <c r="AI26" s="148">
        <v>18447916</v>
      </c>
      <c r="AJ26" s="148">
        <v>26496112</v>
      </c>
      <c r="AK26" s="148">
        <v>25036556</v>
      </c>
      <c r="AL26" s="148">
        <v>26352301</v>
      </c>
      <c r="AM26" s="148">
        <v>25340447</v>
      </c>
      <c r="AN26" s="148">
        <v>28152548</v>
      </c>
      <c r="AO26" s="148">
        <v>26660150</v>
      </c>
      <c r="AP26" s="148">
        <v>28135844</v>
      </c>
      <c r="AQ26" s="148">
        <v>25289900</v>
      </c>
      <c r="AR26" s="148">
        <v>22936754</v>
      </c>
      <c r="AS26" s="148">
        <v>25976450</v>
      </c>
      <c r="AT26" s="148">
        <v>17426682</v>
      </c>
      <c r="AU26" s="148">
        <v>33097544</v>
      </c>
      <c r="AV26" s="148">
        <v>38224247</v>
      </c>
      <c r="AW26" s="149">
        <v>34460788</v>
      </c>
      <c r="AX26" s="152" t="s">
        <v>263</v>
      </c>
      <c r="AY26" s="153" t="s">
        <v>44</v>
      </c>
      <c r="AZ26" s="154">
        <f t="shared" si="4"/>
        <v>0.44339038133253333</v>
      </c>
      <c r="BA26" s="154">
        <f t="shared" si="4"/>
        <v>0.43285994557918489</v>
      </c>
      <c r="BB26" s="154">
        <f t="shared" si="4"/>
        <v>0.44115757604929073</v>
      </c>
      <c r="BC26" s="154">
        <f t="shared" si="4"/>
        <v>0.45811421009332187</v>
      </c>
      <c r="BD26" s="154">
        <f t="shared" si="4"/>
        <v>0.49191546663364843</v>
      </c>
      <c r="BE26" s="154">
        <f t="shared" si="4"/>
        <v>0.45165084039544812</v>
      </c>
      <c r="BF26" s="154">
        <f t="shared" si="4"/>
        <v>0.42769078815231754</v>
      </c>
      <c r="BG26" s="154">
        <f t="shared" si="4"/>
        <v>0.40220181106133207</v>
      </c>
      <c r="BH26" s="154">
        <f t="shared" si="4"/>
        <v>0.37420674679763355</v>
      </c>
      <c r="BI26" s="154">
        <f t="shared" si="4"/>
        <v>0.32417788096867062</v>
      </c>
      <c r="BJ26" s="154">
        <f t="shared" si="4"/>
        <v>0.31300628844737038</v>
      </c>
      <c r="BK26" s="154">
        <f t="shared" si="4"/>
        <v>0.28065094931676277</v>
      </c>
      <c r="BL26" s="154">
        <f t="shared" si="4"/>
        <v>0.29010365165665519</v>
      </c>
      <c r="BM26" s="154">
        <f t="shared" si="4"/>
        <v>0.3090280719601039</v>
      </c>
      <c r="BN26" s="154">
        <f t="shared" si="4"/>
        <v>0.30598364915672049</v>
      </c>
      <c r="BO26" s="154">
        <f t="shared" si="4"/>
        <v>0.28059474076319385</v>
      </c>
      <c r="BP26" s="154">
        <f t="shared" si="4"/>
        <v>0.29400556310032189</v>
      </c>
      <c r="BQ26" s="154">
        <f t="shared" si="4"/>
        <v>0.29486118243867432</v>
      </c>
      <c r="BR26" s="154">
        <f t="shared" si="4"/>
        <v>0.28925130559717338</v>
      </c>
      <c r="BS26" s="154">
        <f t="shared" si="4"/>
        <v>0.27232767116711754</v>
      </c>
      <c r="BT26" s="154">
        <f t="shared" ref="BT26:CT26" si="11">W64/SUM(W$59:W$64)</f>
        <v>0.27574189474770938</v>
      </c>
      <c r="BU26" s="154">
        <f t="shared" si="11"/>
        <v>0.28788467497394349</v>
      </c>
      <c r="BV26" s="154">
        <f t="shared" si="11"/>
        <v>0.30080400628934856</v>
      </c>
      <c r="BW26" s="154">
        <f t="shared" si="11"/>
        <v>0.29615905274071314</v>
      </c>
      <c r="BX26" s="154">
        <f t="shared" si="11"/>
        <v>0.2741822193686026</v>
      </c>
      <c r="BY26" s="154">
        <f t="shared" si="11"/>
        <v>0.2484420347948543</v>
      </c>
      <c r="BZ26" s="154">
        <f t="shared" si="11"/>
        <v>0.24363208569372988</v>
      </c>
      <c r="CA26" s="154">
        <f t="shared" si="11"/>
        <v>0.25997137984654861</v>
      </c>
      <c r="CB26" s="154">
        <f t="shared" si="11"/>
        <v>0.24995337563674688</v>
      </c>
      <c r="CC26" s="154">
        <f t="shared" si="11"/>
        <v>0.21772550523237569</v>
      </c>
      <c r="CD26" s="154">
        <f t="shared" si="11"/>
        <v>0.17843162334891968</v>
      </c>
      <c r="CE26" s="154">
        <f t="shared" si="11"/>
        <v>0.1576276450270141</v>
      </c>
      <c r="CF26" s="154">
        <f t="shared" si="11"/>
        <v>0.19277632597903951</v>
      </c>
      <c r="CG26" s="154">
        <f t="shared" si="11"/>
        <v>0.18485933455104267</v>
      </c>
      <c r="CH26" s="154">
        <f t="shared" si="11"/>
        <v>0.2083122368222079</v>
      </c>
      <c r="CI26" s="154">
        <f t="shared" si="11"/>
        <v>0.19864819800024483</v>
      </c>
      <c r="CJ26" s="154">
        <f t="shared" si="11"/>
        <v>0.20775968102241957</v>
      </c>
      <c r="CK26" s="154">
        <f t="shared" si="11"/>
        <v>0.20372726430772056</v>
      </c>
      <c r="CL26" s="154">
        <f t="shared" si="11"/>
        <v>0.20240723367480362</v>
      </c>
      <c r="CM26" s="154">
        <f t="shared" si="11"/>
        <v>0.20288400393532405</v>
      </c>
      <c r="CN26" s="154">
        <f t="shared" si="11"/>
        <v>0.19065402568816434</v>
      </c>
      <c r="CO26" s="154">
        <f t="shared" si="11"/>
        <v>0.1777899509811629</v>
      </c>
      <c r="CP26" s="154">
        <f t="shared" si="11"/>
        <v>0.24117145085288647</v>
      </c>
      <c r="CQ26" s="154">
        <f t="shared" si="11"/>
        <v>0.20131158680719602</v>
      </c>
      <c r="CR26" s="154">
        <f t="shared" si="11"/>
        <v>0.18261262060753281</v>
      </c>
      <c r="CS26" s="154">
        <f>AV64/SUM(AV$59:AV$64)</f>
        <v>0.15586670101593825</v>
      </c>
      <c r="CT26" s="154">
        <f t="shared" si="11"/>
        <v>0.1463927999500082</v>
      </c>
      <c r="CV26" s="155">
        <f t="shared" si="5"/>
        <v>0.1463927999500082</v>
      </c>
      <c r="CW26" s="155">
        <f t="shared" si="6"/>
        <v>0.27797675813965261</v>
      </c>
      <c r="CX26" s="155">
        <f t="shared" si="7"/>
        <v>0.49191546663364843</v>
      </c>
      <c r="DA26" s="155">
        <f t="shared" si="8"/>
        <v>0.1463927999500082</v>
      </c>
      <c r="DB26" s="155">
        <f>AVERAGE(CF26:CT26)</f>
        <v>0.19314489427971279</v>
      </c>
      <c r="DC26" s="155">
        <f t="shared" si="10"/>
        <v>0.24117145085288647</v>
      </c>
      <c r="DE26" s="459" t="s">
        <v>673</v>
      </c>
      <c r="DF26" s="153" t="s">
        <v>44</v>
      </c>
    </row>
    <row r="27" spans="1:114" ht="15">
      <c r="A27" s="145" t="s">
        <v>284</v>
      </c>
      <c r="B27" s="146" t="s">
        <v>51</v>
      </c>
      <c r="C27" s="147">
        <v>46508754</v>
      </c>
      <c r="D27" s="148">
        <v>70672171</v>
      </c>
      <c r="E27" s="148">
        <v>77962128</v>
      </c>
      <c r="F27" s="148">
        <v>100345169</v>
      </c>
      <c r="G27" s="148">
        <v>111538506</v>
      </c>
      <c r="H27" s="148">
        <v>135612977</v>
      </c>
      <c r="I27" s="148">
        <v>133331859</v>
      </c>
      <c r="J27" s="148">
        <v>138003152</v>
      </c>
      <c r="K27" s="148">
        <v>138527896</v>
      </c>
      <c r="L27" s="148">
        <v>129530664</v>
      </c>
      <c r="M27" s="148">
        <v>137341305</v>
      </c>
      <c r="N27" s="148">
        <v>135124150</v>
      </c>
      <c r="O27" s="148">
        <v>137599853</v>
      </c>
      <c r="P27" s="148">
        <v>153980000</v>
      </c>
      <c r="Q27" s="148">
        <v>118881497</v>
      </c>
      <c r="R27" s="148">
        <v>114484308</v>
      </c>
      <c r="S27" s="148">
        <v>109623166</v>
      </c>
      <c r="T27" s="148">
        <v>130082057</v>
      </c>
      <c r="U27" s="148">
        <v>140406069</v>
      </c>
      <c r="V27" s="148">
        <v>128874322</v>
      </c>
      <c r="W27" s="148">
        <v>146739328</v>
      </c>
      <c r="X27" s="148">
        <v>133717576</v>
      </c>
      <c r="Y27" s="148">
        <v>132849521</v>
      </c>
      <c r="Z27" s="148">
        <v>138086623</v>
      </c>
      <c r="AA27" s="148">
        <v>139834968</v>
      </c>
      <c r="AB27" s="148">
        <v>155723514</v>
      </c>
      <c r="AC27" s="148">
        <v>167090543</v>
      </c>
      <c r="AD27" s="148">
        <v>172825389</v>
      </c>
      <c r="AE27" s="148">
        <v>172798653</v>
      </c>
      <c r="AF27" s="148">
        <v>176978404</v>
      </c>
      <c r="AG27" s="148">
        <v>195090482</v>
      </c>
      <c r="AH27" s="148">
        <v>164214874</v>
      </c>
      <c r="AI27" s="148">
        <v>139764607</v>
      </c>
      <c r="AJ27" s="148">
        <v>120945572</v>
      </c>
      <c r="AK27" s="148">
        <v>128764241</v>
      </c>
      <c r="AL27" s="148">
        <v>131632485</v>
      </c>
      <c r="AM27" s="148">
        <v>125443163</v>
      </c>
      <c r="AN27" s="148">
        <v>137015010</v>
      </c>
      <c r="AO27" s="148">
        <v>133387879</v>
      </c>
      <c r="AP27" s="148">
        <v>124533548</v>
      </c>
      <c r="AQ27" s="148">
        <v>129089198</v>
      </c>
      <c r="AR27" s="148">
        <v>137627566</v>
      </c>
      <c r="AS27" s="148">
        <v>116362147</v>
      </c>
      <c r="AT27" s="148">
        <v>133128907</v>
      </c>
      <c r="AU27" s="148">
        <v>117131483</v>
      </c>
      <c r="AV27" s="148">
        <v>122018453</v>
      </c>
      <c r="AW27" s="149">
        <v>145640256</v>
      </c>
      <c r="AX27" s="152" t="s">
        <v>285</v>
      </c>
      <c r="AY27" s="156" t="s">
        <v>248</v>
      </c>
      <c r="AZ27" s="157">
        <f t="shared" ref="AZ27:CT27" si="12">C75</f>
        <v>0</v>
      </c>
      <c r="BA27" s="157">
        <f t="shared" si="12"/>
        <v>0</v>
      </c>
      <c r="BB27" s="157">
        <f t="shared" si="12"/>
        <v>0</v>
      </c>
      <c r="BC27" s="157">
        <f t="shared" si="12"/>
        <v>0</v>
      </c>
      <c r="BD27" s="157">
        <f t="shared" si="12"/>
        <v>0</v>
      </c>
      <c r="BE27" s="157">
        <f t="shared" si="12"/>
        <v>0</v>
      </c>
      <c r="BF27" s="157">
        <f t="shared" si="12"/>
        <v>0</v>
      </c>
      <c r="BG27" s="157">
        <f t="shared" si="12"/>
        <v>0</v>
      </c>
      <c r="BH27" s="157">
        <f t="shared" si="12"/>
        <v>-3457958</v>
      </c>
      <c r="BI27" s="157">
        <f t="shared" si="12"/>
        <v>-7614121</v>
      </c>
      <c r="BJ27" s="157">
        <f t="shared" si="12"/>
        <v>6238156</v>
      </c>
      <c r="BK27" s="157">
        <f t="shared" si="12"/>
        <v>-5426302</v>
      </c>
      <c r="BL27" s="157">
        <f t="shared" si="12"/>
        <v>-8224462</v>
      </c>
      <c r="BM27" s="157">
        <f t="shared" si="12"/>
        <v>-2400635</v>
      </c>
      <c r="BN27" s="157">
        <f t="shared" si="12"/>
        <v>23622270</v>
      </c>
      <c r="BO27" s="157">
        <f t="shared" si="12"/>
        <v>14693192</v>
      </c>
      <c r="BP27" s="157">
        <f t="shared" si="12"/>
        <v>33676426</v>
      </c>
      <c r="BQ27" s="157">
        <f t="shared" si="12"/>
        <v>27651458</v>
      </c>
      <c r="BR27" s="157">
        <f t="shared" si="12"/>
        <v>23113835</v>
      </c>
      <c r="BS27" s="157">
        <f t="shared" si="12"/>
        <v>17504277</v>
      </c>
      <c r="BT27" s="157">
        <f t="shared" si="12"/>
        <v>25215094</v>
      </c>
      <c r="BU27" s="157">
        <f t="shared" si="12"/>
        <v>26158943</v>
      </c>
      <c r="BV27" s="157">
        <f t="shared" si="12"/>
        <v>30378383</v>
      </c>
      <c r="BW27" s="157">
        <f t="shared" si="12"/>
        <v>34123962</v>
      </c>
      <c r="BX27" s="157">
        <f t="shared" si="12"/>
        <v>26874299</v>
      </c>
      <c r="BY27" s="157">
        <f t="shared" si="12"/>
        <v>16785219</v>
      </c>
      <c r="BZ27" s="157">
        <f t="shared" si="12"/>
        <v>7427491</v>
      </c>
      <c r="CA27" s="157">
        <f t="shared" si="12"/>
        <v>22531702</v>
      </c>
      <c r="CB27" s="157">
        <f t="shared" si="12"/>
        <v>11718613</v>
      </c>
      <c r="CC27" s="157">
        <f t="shared" si="12"/>
        <v>-2452088</v>
      </c>
      <c r="CD27" s="157">
        <f t="shared" si="12"/>
        <v>4375488</v>
      </c>
      <c r="CE27" s="157">
        <f t="shared" si="12"/>
        <v>3270427</v>
      </c>
      <c r="CF27" s="157">
        <f t="shared" si="12"/>
        <v>968768</v>
      </c>
      <c r="CG27" s="157">
        <f t="shared" si="12"/>
        <v>8817156</v>
      </c>
      <c r="CH27" s="157">
        <f t="shared" si="12"/>
        <v>5113752</v>
      </c>
      <c r="CI27" s="157">
        <f t="shared" si="12"/>
        <v>2322437</v>
      </c>
      <c r="CJ27" s="157">
        <f t="shared" si="12"/>
        <v>2161479</v>
      </c>
      <c r="CK27" s="157">
        <f t="shared" si="12"/>
        <v>1990228</v>
      </c>
      <c r="CL27" s="157">
        <f t="shared" si="12"/>
        <v>196701</v>
      </c>
      <c r="CM27" s="157">
        <f t="shared" si="12"/>
        <v>2357523</v>
      </c>
      <c r="CN27" s="157">
        <f t="shared" si="12"/>
        <v>3397029</v>
      </c>
      <c r="CO27" s="157">
        <f t="shared" si="12"/>
        <v>645244</v>
      </c>
      <c r="CP27" s="157">
        <f t="shared" si="12"/>
        <v>482422</v>
      </c>
      <c r="CQ27" s="157">
        <f t="shared" si="12"/>
        <v>1317982</v>
      </c>
      <c r="CR27" s="157">
        <f t="shared" si="12"/>
        <v>2073495</v>
      </c>
      <c r="CS27" s="157">
        <f t="shared" si="12"/>
        <v>2408184</v>
      </c>
      <c r="CT27" s="157">
        <f t="shared" si="12"/>
        <v>735379</v>
      </c>
      <c r="CV27" s="158">
        <f t="shared" si="5"/>
        <v>-8224462</v>
      </c>
      <c r="CW27" s="158">
        <f>AVERAGE(AZ27:CT27)</f>
        <v>7675988.2553191492</v>
      </c>
      <c r="CX27" s="158">
        <f>MAX(AZ27:CT27)</f>
        <v>34123962</v>
      </c>
      <c r="CY27" s="159"/>
      <c r="CZ27" s="159"/>
      <c r="DA27" s="158">
        <f t="shared" si="8"/>
        <v>196701</v>
      </c>
      <c r="DB27" s="158">
        <f>AVERAGE(CF27:CT27)</f>
        <v>2332518.6</v>
      </c>
      <c r="DC27" s="158">
        <f t="shared" si="10"/>
        <v>8817156</v>
      </c>
      <c r="DE27" s="459" t="s">
        <v>673</v>
      </c>
      <c r="DF27" s="156" t="s">
        <v>248</v>
      </c>
    </row>
    <row r="28" spans="1:114" ht="15.75" thickBot="1">
      <c r="A28" s="145" t="s">
        <v>284</v>
      </c>
      <c r="B28" s="146" t="s">
        <v>263</v>
      </c>
      <c r="C28" s="147">
        <v>84342480</v>
      </c>
      <c r="D28" s="148">
        <v>112867876</v>
      </c>
      <c r="E28" s="148">
        <v>124057479</v>
      </c>
      <c r="F28" s="148">
        <v>165326973</v>
      </c>
      <c r="G28" s="148">
        <v>200336396</v>
      </c>
      <c r="H28" s="148">
        <v>194158005</v>
      </c>
      <c r="I28" s="148">
        <v>172700908</v>
      </c>
      <c r="J28" s="148">
        <v>157002674</v>
      </c>
      <c r="K28" s="148">
        <v>139706833</v>
      </c>
      <c r="L28" s="148">
        <v>102796155</v>
      </c>
      <c r="M28" s="148">
        <v>101130053</v>
      </c>
      <c r="N28" s="148">
        <v>85997702</v>
      </c>
      <c r="O28" s="148">
        <v>91689012</v>
      </c>
      <c r="P28" s="148">
        <v>107035760</v>
      </c>
      <c r="Q28" s="148">
        <v>83413880</v>
      </c>
      <c r="R28" s="148">
        <v>70418006</v>
      </c>
      <c r="S28" s="148">
        <v>70912978</v>
      </c>
      <c r="T28" s="148">
        <v>83599526</v>
      </c>
      <c r="U28" s="148">
        <v>88399520</v>
      </c>
      <c r="V28" s="148">
        <v>80041127</v>
      </c>
      <c r="W28" s="148">
        <v>88123695</v>
      </c>
      <c r="X28" s="148">
        <v>90721741</v>
      </c>
      <c r="Y28" s="148">
        <v>100597737</v>
      </c>
      <c r="Z28" s="148">
        <v>100866496</v>
      </c>
      <c r="AA28" s="148">
        <v>88088136</v>
      </c>
      <c r="AB28" s="148">
        <v>83654407</v>
      </c>
      <c r="AC28" s="148">
        <v>86307546</v>
      </c>
      <c r="AD28" s="148">
        <v>94492449</v>
      </c>
      <c r="AE28" s="148">
        <v>92684234</v>
      </c>
      <c r="AF28" s="148">
        <v>86232588</v>
      </c>
      <c r="AG28" s="148">
        <v>79946929</v>
      </c>
      <c r="AH28" s="148">
        <v>57145892</v>
      </c>
      <c r="AI28" s="148">
        <v>62940143</v>
      </c>
      <c r="AJ28" s="148">
        <v>61055894</v>
      </c>
      <c r="AK28" s="148">
        <v>70166981</v>
      </c>
      <c r="AL28" s="148">
        <v>66968477</v>
      </c>
      <c r="AM28" s="148">
        <v>67380383</v>
      </c>
      <c r="AN28" s="148">
        <v>68359438</v>
      </c>
      <c r="AO28" s="148">
        <v>66264744</v>
      </c>
      <c r="AP28" s="148">
        <v>63704038</v>
      </c>
      <c r="AQ28" s="148">
        <v>62640431</v>
      </c>
      <c r="AR28" s="148">
        <v>57416743</v>
      </c>
      <c r="AS28" s="148">
        <v>78758521</v>
      </c>
      <c r="AT28" s="148">
        <v>63620014</v>
      </c>
      <c r="AU28" s="148">
        <v>55632005</v>
      </c>
      <c r="AV28" s="148">
        <v>48112486</v>
      </c>
      <c r="AW28" s="149">
        <v>50471365</v>
      </c>
      <c r="AX28" s="152" t="s">
        <v>146</v>
      </c>
      <c r="AY28" s="160" t="s">
        <v>97</v>
      </c>
      <c r="AZ28" s="161">
        <f>C74</f>
        <v>185997985</v>
      </c>
      <c r="BA28" s="161">
        <f t="shared" ref="BA28:CT28" si="13">D74</f>
        <v>273247012</v>
      </c>
      <c r="BB28" s="161">
        <f t="shared" si="13"/>
        <v>282278379</v>
      </c>
      <c r="BC28" s="161">
        <f t="shared" si="13"/>
        <v>382445493</v>
      </c>
      <c r="BD28" s="161">
        <f t="shared" si="13"/>
        <v>417950029</v>
      </c>
      <c r="BE28" s="161">
        <f t="shared" si="13"/>
        <v>426965749</v>
      </c>
      <c r="BF28" s="161">
        <f t="shared" si="13"/>
        <v>405622181</v>
      </c>
      <c r="BG28" s="161">
        <f t="shared" si="13"/>
        <v>419941430</v>
      </c>
      <c r="BH28" s="161">
        <f t="shared" si="13"/>
        <v>395445381</v>
      </c>
      <c r="BI28" s="161">
        <f t="shared" si="13"/>
        <v>334381256</v>
      </c>
      <c r="BJ28" s="161">
        <f t="shared" si="13"/>
        <v>326893057</v>
      </c>
      <c r="BK28" s="161">
        <f t="shared" si="13"/>
        <v>323173307</v>
      </c>
      <c r="BL28" s="161">
        <f t="shared" si="13"/>
        <v>334801625</v>
      </c>
      <c r="BM28" s="161">
        <f t="shared" si="13"/>
        <v>356687766</v>
      </c>
      <c r="BN28" s="161">
        <f t="shared" si="13"/>
        <v>271367717</v>
      </c>
      <c r="BO28" s="161">
        <f t="shared" si="13"/>
        <v>244655971</v>
      </c>
      <c r="BP28" s="161">
        <f t="shared" si="13"/>
        <v>219934312</v>
      </c>
      <c r="BQ28" s="161">
        <f t="shared" si="13"/>
        <v>266041514</v>
      </c>
      <c r="BR28" s="161">
        <f t="shared" si="13"/>
        <v>287567570</v>
      </c>
      <c r="BS28" s="161">
        <f t="shared" si="13"/>
        <v>279743964</v>
      </c>
      <c r="BT28" s="161">
        <f t="shared" si="13"/>
        <v>304432563</v>
      </c>
      <c r="BU28" s="161">
        <f t="shared" si="13"/>
        <v>296960845</v>
      </c>
      <c r="BV28" s="161">
        <f t="shared" si="13"/>
        <v>310890390</v>
      </c>
      <c r="BW28" s="161">
        <f t="shared" si="13"/>
        <v>323131975</v>
      </c>
      <c r="BX28" s="161">
        <f t="shared" si="13"/>
        <v>308682005</v>
      </c>
      <c r="BY28" s="161">
        <f t="shared" si="13"/>
        <v>331394770</v>
      </c>
      <c r="BZ28" s="161">
        <f t="shared" si="13"/>
        <v>355454908</v>
      </c>
      <c r="CA28" s="161">
        <f t="shared" si="13"/>
        <v>356795000</v>
      </c>
      <c r="CB28" s="161">
        <f t="shared" si="13"/>
        <v>365356400</v>
      </c>
      <c r="CC28" s="161">
        <f t="shared" si="13"/>
        <v>412022100</v>
      </c>
      <c r="CD28" s="161">
        <f t="shared" si="13"/>
        <v>448338000</v>
      </c>
      <c r="CE28" s="161">
        <f t="shared" si="13"/>
        <v>365090511</v>
      </c>
      <c r="CF28" s="161">
        <f t="shared" si="13"/>
        <v>340314599</v>
      </c>
      <c r="CG28" s="161">
        <f t="shared" si="13"/>
        <v>339203135</v>
      </c>
      <c r="CH28" s="161">
        <f t="shared" si="13"/>
        <v>346270013</v>
      </c>
      <c r="CI28" s="161">
        <f t="shared" si="13"/>
        <v>343914817</v>
      </c>
      <c r="CJ28" s="161">
        <f t="shared" si="13"/>
        <v>333095071</v>
      </c>
      <c r="CK28" s="161">
        <f t="shared" si="13"/>
        <v>352220912</v>
      </c>
      <c r="CL28" s="161">
        <f t="shared" si="13"/>
        <v>344651751</v>
      </c>
      <c r="CM28" s="161">
        <f t="shared" si="13"/>
        <v>332180848</v>
      </c>
      <c r="CN28" s="161">
        <f t="shared" si="13"/>
        <v>343530612</v>
      </c>
      <c r="CO28" s="161">
        <f t="shared" si="13"/>
        <v>333386568</v>
      </c>
      <c r="CP28" s="161">
        <f t="shared" si="13"/>
        <v>334639330</v>
      </c>
      <c r="CQ28" s="161">
        <f t="shared" si="13"/>
        <v>335634780</v>
      </c>
      <c r="CR28" s="161">
        <f t="shared" si="13"/>
        <v>314168191</v>
      </c>
      <c r="CS28" s="161">
        <f t="shared" si="13"/>
        <v>327286287</v>
      </c>
      <c r="CT28" s="161">
        <f t="shared" si="13"/>
        <v>362386542</v>
      </c>
      <c r="CV28" s="158">
        <f t="shared" si="5"/>
        <v>185997985</v>
      </c>
      <c r="CW28" s="158">
        <f>AVERAGE(AZ28:CT28)</f>
        <v>333969672.78723407</v>
      </c>
      <c r="CX28" s="158">
        <f>MAX(AZ28:CT28)</f>
        <v>448338000</v>
      </c>
      <c r="CY28" s="159"/>
      <c r="CZ28" s="159"/>
      <c r="DA28" s="158">
        <f t="shared" si="8"/>
        <v>314168191</v>
      </c>
      <c r="DB28" s="158">
        <f t="shared" si="9"/>
        <v>338858897.06666666</v>
      </c>
      <c r="DC28" s="158">
        <f t="shared" si="10"/>
        <v>362386542</v>
      </c>
      <c r="DE28" s="459" t="s">
        <v>673</v>
      </c>
      <c r="DF28" s="461" t="s">
        <v>97</v>
      </c>
    </row>
    <row r="29" spans="1:114" ht="15">
      <c r="A29" s="145" t="s">
        <v>284</v>
      </c>
      <c r="B29" s="146" t="s">
        <v>264</v>
      </c>
      <c r="C29" s="147">
        <v>0</v>
      </c>
      <c r="D29" s="148">
        <v>0</v>
      </c>
      <c r="E29" s="148">
        <v>0</v>
      </c>
      <c r="F29" s="148">
        <v>0</v>
      </c>
      <c r="G29" s="148">
        <v>0</v>
      </c>
      <c r="H29" s="148">
        <v>0</v>
      </c>
      <c r="I29" s="148">
        <v>0</v>
      </c>
      <c r="J29" s="148">
        <v>0</v>
      </c>
      <c r="K29" s="148">
        <v>0</v>
      </c>
      <c r="L29" s="148">
        <v>0</v>
      </c>
      <c r="M29" s="148">
        <v>0</v>
      </c>
      <c r="N29" s="148">
        <v>0</v>
      </c>
      <c r="O29" s="148">
        <v>0</v>
      </c>
      <c r="P29" s="148">
        <v>0</v>
      </c>
      <c r="Q29" s="148">
        <v>0</v>
      </c>
      <c r="R29" s="148">
        <v>0</v>
      </c>
      <c r="S29" s="148">
        <v>0</v>
      </c>
      <c r="T29" s="148">
        <v>0</v>
      </c>
      <c r="U29" s="148">
        <v>0</v>
      </c>
      <c r="V29" s="148">
        <v>0</v>
      </c>
      <c r="W29" s="148">
        <v>0</v>
      </c>
      <c r="X29" s="148">
        <v>0</v>
      </c>
      <c r="Y29" s="148">
        <v>0</v>
      </c>
      <c r="Z29" s="148">
        <v>0</v>
      </c>
      <c r="AA29" s="148">
        <v>0</v>
      </c>
      <c r="AB29" s="148">
        <v>0</v>
      </c>
      <c r="AC29" s="148">
        <v>0</v>
      </c>
      <c r="AD29" s="148">
        <v>0</v>
      </c>
      <c r="AE29" s="148">
        <v>0</v>
      </c>
      <c r="AF29" s="148">
        <v>0</v>
      </c>
      <c r="AG29" s="148">
        <v>0</v>
      </c>
      <c r="AH29" s="148">
        <v>0</v>
      </c>
      <c r="AI29" s="148">
        <v>0</v>
      </c>
      <c r="AJ29" s="148">
        <v>0</v>
      </c>
      <c r="AK29" s="148">
        <v>0</v>
      </c>
      <c r="AL29" s="148">
        <v>0</v>
      </c>
      <c r="AM29" s="148">
        <v>0</v>
      </c>
      <c r="AN29" s="148">
        <v>0</v>
      </c>
      <c r="AO29" s="148">
        <v>0</v>
      </c>
      <c r="AP29" s="148">
        <v>0</v>
      </c>
      <c r="AQ29" s="148">
        <v>0</v>
      </c>
      <c r="AR29" s="148">
        <v>0</v>
      </c>
      <c r="AS29" s="148">
        <v>0</v>
      </c>
      <c r="AT29" s="148">
        <v>0</v>
      </c>
      <c r="AU29" s="148">
        <v>0</v>
      </c>
      <c r="AV29" s="148">
        <v>0</v>
      </c>
      <c r="AW29" s="149">
        <v>0</v>
      </c>
      <c r="AX29" s="152" t="s">
        <v>286</v>
      </c>
      <c r="AY29" s="138" t="str">
        <f>B86</f>
        <v>Elec</v>
      </c>
      <c r="AZ29" s="138">
        <f t="shared" ref="AZ29:CT30" si="14">C86</f>
        <v>397650</v>
      </c>
      <c r="BA29" s="138">
        <f t="shared" si="14"/>
        <v>432699</v>
      </c>
      <c r="BB29" s="138">
        <f t="shared" si="14"/>
        <v>476143</v>
      </c>
      <c r="BC29" s="138">
        <f t="shared" si="14"/>
        <v>530132</v>
      </c>
      <c r="BD29" s="138">
        <f t="shared" si="14"/>
        <v>593411</v>
      </c>
      <c r="BE29" s="138">
        <f t="shared" si="14"/>
        <v>643437</v>
      </c>
      <c r="BF29" s="138">
        <f t="shared" si="14"/>
        <v>685084</v>
      </c>
      <c r="BG29" s="138">
        <f t="shared" si="14"/>
        <v>736411</v>
      </c>
      <c r="BH29" s="138">
        <f t="shared" si="14"/>
        <v>731086</v>
      </c>
      <c r="BI29" s="138">
        <f t="shared" si="14"/>
        <v>686570</v>
      </c>
      <c r="BJ29" s="138">
        <f t="shared" si="14"/>
        <v>613406</v>
      </c>
      <c r="BK29" s="138">
        <f t="shared" si="14"/>
        <v>594418</v>
      </c>
      <c r="BL29" s="138">
        <f t="shared" si="14"/>
        <v>639873</v>
      </c>
      <c r="BM29" s="138">
        <f t="shared" si="14"/>
        <v>625981</v>
      </c>
      <c r="BN29" s="138">
        <f t="shared" si="14"/>
        <v>647706</v>
      </c>
      <c r="BO29" s="138">
        <f t="shared" si="14"/>
        <v>763354</v>
      </c>
      <c r="BP29" s="138">
        <f t="shared" si="14"/>
        <v>759288</v>
      </c>
      <c r="BQ29" s="138">
        <f t="shared" si="14"/>
        <v>783722</v>
      </c>
      <c r="BR29" s="138">
        <f t="shared" si="14"/>
        <v>785727</v>
      </c>
      <c r="BS29" s="138">
        <f t="shared" si="14"/>
        <v>767902</v>
      </c>
      <c r="BT29" s="138">
        <f t="shared" si="14"/>
        <v>911578</v>
      </c>
      <c r="BU29" s="138">
        <f t="shared" si="14"/>
        <v>909734</v>
      </c>
      <c r="BV29" s="138">
        <f t="shared" si="14"/>
        <v>857186</v>
      </c>
      <c r="BW29" s="138">
        <f t="shared" si="14"/>
        <v>844713</v>
      </c>
      <c r="BX29" s="138">
        <f t="shared" si="14"/>
        <v>891592</v>
      </c>
      <c r="BY29" s="138">
        <f t="shared" si="14"/>
        <v>1096782</v>
      </c>
      <c r="BZ29" s="138">
        <f t="shared" si="14"/>
        <v>1163069</v>
      </c>
      <c r="CA29" s="138">
        <f t="shared" si="14"/>
        <v>1103643</v>
      </c>
      <c r="CB29" s="138">
        <f t="shared" si="14"/>
        <v>1200480</v>
      </c>
      <c r="CC29" s="138">
        <f t="shared" si="14"/>
        <v>1178367</v>
      </c>
      <c r="CD29" s="138">
        <f t="shared" si="14"/>
        <v>1231778</v>
      </c>
      <c r="CE29" s="138">
        <f t="shared" si="14"/>
        <v>1027529</v>
      </c>
      <c r="CF29" s="138">
        <f t="shared" si="14"/>
        <v>905799</v>
      </c>
      <c r="CG29" s="138">
        <f t="shared" si="14"/>
        <v>977882</v>
      </c>
      <c r="CH29" s="138">
        <f t="shared" si="14"/>
        <v>756137</v>
      </c>
      <c r="CI29" s="138">
        <f t="shared" si="14"/>
        <v>555652</v>
      </c>
      <c r="CJ29" s="138">
        <f t="shared" si="14"/>
        <v>565485</v>
      </c>
      <c r="CK29" s="138">
        <f t="shared" si="14"/>
        <v>904276</v>
      </c>
      <c r="CL29" s="138">
        <f t="shared" si="14"/>
        <v>922446</v>
      </c>
      <c r="CM29" s="138">
        <f t="shared" si="14"/>
        <v>644273</v>
      </c>
      <c r="CN29" s="138">
        <f t="shared" si="14"/>
        <v>781406</v>
      </c>
      <c r="CO29" s="138">
        <f t="shared" si="14"/>
        <v>1101084</v>
      </c>
      <c r="CP29" s="138">
        <f t="shared" si="14"/>
        <v>1285842</v>
      </c>
      <c r="CQ29" s="138">
        <f t="shared" si="14"/>
        <v>1153932</v>
      </c>
      <c r="CR29" s="162">
        <f t="shared" si="14"/>
        <v>1169936</v>
      </c>
      <c r="CS29" s="138">
        <f t="shared" si="14"/>
        <v>1056349</v>
      </c>
      <c r="CT29" s="162">
        <f t="shared" si="14"/>
        <v>1074112</v>
      </c>
      <c r="CV29" s="126" t="s">
        <v>144</v>
      </c>
      <c r="CW29" s="126" t="s">
        <v>142</v>
      </c>
      <c r="DA29" s="126" t="s">
        <v>144</v>
      </c>
      <c r="DB29" s="126" t="s">
        <v>142</v>
      </c>
    </row>
    <row r="30" spans="1:114" ht="15">
      <c r="A30" s="145" t="s">
        <v>284</v>
      </c>
      <c r="B30" s="146" t="s">
        <v>265</v>
      </c>
      <c r="C30" s="147">
        <v>0</v>
      </c>
      <c r="D30" s="148">
        <v>0</v>
      </c>
      <c r="E30" s="148">
        <v>0</v>
      </c>
      <c r="F30" s="148">
        <v>0</v>
      </c>
      <c r="G30" s="148">
        <v>0</v>
      </c>
      <c r="H30" s="148">
        <v>0</v>
      </c>
      <c r="I30" s="148">
        <v>0</v>
      </c>
      <c r="J30" s="148">
        <v>0</v>
      </c>
      <c r="K30" s="148">
        <v>0</v>
      </c>
      <c r="L30" s="148">
        <v>0</v>
      </c>
      <c r="M30" s="148">
        <v>0</v>
      </c>
      <c r="N30" s="148">
        <v>0</v>
      </c>
      <c r="O30" s="148">
        <v>0</v>
      </c>
      <c r="P30" s="148">
        <v>0</v>
      </c>
      <c r="Q30" s="148">
        <v>0</v>
      </c>
      <c r="R30" s="148">
        <v>0</v>
      </c>
      <c r="S30" s="148">
        <v>0</v>
      </c>
      <c r="T30" s="148">
        <v>0</v>
      </c>
      <c r="U30" s="148">
        <v>0</v>
      </c>
      <c r="V30" s="148">
        <v>0</v>
      </c>
      <c r="W30" s="148">
        <v>0</v>
      </c>
      <c r="X30" s="148">
        <v>0</v>
      </c>
      <c r="Y30" s="148">
        <v>0</v>
      </c>
      <c r="Z30" s="148">
        <v>0</v>
      </c>
      <c r="AA30" s="148">
        <v>0</v>
      </c>
      <c r="AB30" s="148">
        <v>0</v>
      </c>
      <c r="AC30" s="148">
        <v>0</v>
      </c>
      <c r="AD30" s="148">
        <v>0</v>
      </c>
      <c r="AE30" s="148">
        <v>0</v>
      </c>
      <c r="AF30" s="148">
        <v>0</v>
      </c>
      <c r="AG30" s="148">
        <v>0</v>
      </c>
      <c r="AH30" s="148">
        <v>0</v>
      </c>
      <c r="AI30" s="148">
        <v>0</v>
      </c>
      <c r="AJ30" s="148">
        <v>0</v>
      </c>
      <c r="AK30" s="148">
        <v>0</v>
      </c>
      <c r="AL30" s="148">
        <v>940000</v>
      </c>
      <c r="AM30" s="148">
        <v>1504000</v>
      </c>
      <c r="AN30" s="148">
        <v>1692000</v>
      </c>
      <c r="AO30" s="148">
        <v>2444000</v>
      </c>
      <c r="AP30" s="148">
        <v>2632000</v>
      </c>
      <c r="AQ30" s="148">
        <v>2632000</v>
      </c>
      <c r="AR30" s="148">
        <v>2636775</v>
      </c>
      <c r="AS30" s="148">
        <v>3712650</v>
      </c>
      <c r="AT30" s="148">
        <v>3267638</v>
      </c>
      <c r="AU30" s="148">
        <v>2875125</v>
      </c>
      <c r="AV30" s="148">
        <v>3195313</v>
      </c>
      <c r="AW30" s="149">
        <v>3831351</v>
      </c>
      <c r="AX30" s="152" t="s">
        <v>287</v>
      </c>
      <c r="AY30" s="138" t="str">
        <f>B87</f>
        <v>DistHeat</v>
      </c>
      <c r="AZ30" s="138">
        <f t="shared" si="14"/>
        <v>2278</v>
      </c>
      <c r="BA30" s="138">
        <f t="shared" si="14"/>
        <v>2479</v>
      </c>
      <c r="BB30" s="138">
        <f t="shared" si="14"/>
        <v>3063</v>
      </c>
      <c r="BC30" s="138">
        <f t="shared" si="14"/>
        <v>4198</v>
      </c>
      <c r="BD30" s="138">
        <f t="shared" si="14"/>
        <v>4495</v>
      </c>
      <c r="BE30" s="138">
        <f t="shared" si="14"/>
        <v>4899</v>
      </c>
      <c r="BF30" s="138">
        <f t="shared" si="14"/>
        <v>5362</v>
      </c>
      <c r="BG30" s="138">
        <f t="shared" si="14"/>
        <v>5639</v>
      </c>
      <c r="BH30" s="138">
        <f t="shared" si="14"/>
        <v>5838</v>
      </c>
      <c r="BI30" s="138">
        <f t="shared" si="14"/>
        <v>5961</v>
      </c>
      <c r="BJ30" s="138">
        <f t="shared" si="14"/>
        <v>5173</v>
      </c>
      <c r="BK30" s="138">
        <f t="shared" si="14"/>
        <v>5701</v>
      </c>
      <c r="BL30" s="138">
        <f t="shared" si="14"/>
        <v>5536</v>
      </c>
      <c r="BM30" s="138">
        <f t="shared" si="14"/>
        <v>5388</v>
      </c>
      <c r="BN30" s="138">
        <f t="shared" si="14"/>
        <v>0</v>
      </c>
      <c r="BO30" s="138">
        <f t="shared" si="14"/>
        <v>0</v>
      </c>
      <c r="BP30" s="138">
        <f t="shared" si="14"/>
        <v>294559</v>
      </c>
      <c r="BQ30" s="138">
        <f t="shared" si="14"/>
        <v>446939</v>
      </c>
      <c r="BR30" s="138">
        <f t="shared" si="14"/>
        <v>459885</v>
      </c>
      <c r="BS30" s="138">
        <f t="shared" si="14"/>
        <v>439145</v>
      </c>
      <c r="BT30" s="138">
        <f t="shared" si="14"/>
        <v>335697</v>
      </c>
      <c r="BU30" s="138">
        <f t="shared" si="14"/>
        <v>362024</v>
      </c>
      <c r="BV30" s="138">
        <f t="shared" si="14"/>
        <v>405850</v>
      </c>
      <c r="BW30" s="138">
        <f t="shared" si="14"/>
        <v>416804</v>
      </c>
      <c r="BX30" s="138">
        <f t="shared" si="14"/>
        <v>427758</v>
      </c>
      <c r="BY30" s="138">
        <f t="shared" si="14"/>
        <v>387197</v>
      </c>
      <c r="BZ30" s="138">
        <f t="shared" si="14"/>
        <v>346636</v>
      </c>
      <c r="CA30" s="138">
        <f t="shared" si="14"/>
        <v>306075</v>
      </c>
      <c r="CB30" s="138">
        <f t="shared" si="14"/>
        <v>351620</v>
      </c>
      <c r="CC30" s="138">
        <f t="shared" si="14"/>
        <v>380457</v>
      </c>
      <c r="CD30" s="138">
        <f t="shared" si="14"/>
        <v>318666</v>
      </c>
      <c r="CE30" s="138">
        <f t="shared" si="14"/>
        <v>256816</v>
      </c>
      <c r="CF30" s="138">
        <f t="shared" si="14"/>
        <v>222847</v>
      </c>
      <c r="CG30" s="138">
        <f t="shared" si="14"/>
        <v>299190</v>
      </c>
      <c r="CH30" s="138">
        <f t="shared" si="14"/>
        <v>275371</v>
      </c>
      <c r="CI30" s="138">
        <f t="shared" si="14"/>
        <v>252295</v>
      </c>
      <c r="CJ30" s="138">
        <f t="shared" si="14"/>
        <v>252295</v>
      </c>
      <c r="CK30" s="138">
        <f t="shared" si="14"/>
        <v>260862</v>
      </c>
      <c r="CL30" s="138">
        <f t="shared" si="14"/>
        <v>247819</v>
      </c>
      <c r="CM30" s="138">
        <f t="shared" si="14"/>
        <v>354806</v>
      </c>
      <c r="CN30" s="138">
        <f t="shared" si="14"/>
        <v>367693</v>
      </c>
      <c r="CO30" s="138">
        <f t="shared" si="14"/>
        <v>404977</v>
      </c>
      <c r="CP30" s="138">
        <f t="shared" si="14"/>
        <v>585757</v>
      </c>
      <c r="CQ30" s="138">
        <f t="shared" si="14"/>
        <v>585699</v>
      </c>
      <c r="CR30" s="162">
        <f t="shared" si="14"/>
        <v>583942</v>
      </c>
      <c r="CS30" s="138">
        <f t="shared" si="14"/>
        <v>558832</v>
      </c>
      <c r="CT30" s="138">
        <f t="shared" si="14"/>
        <v>558832</v>
      </c>
      <c r="CV30" s="163">
        <f>MAX(AZ33:CT33)</f>
        <v>435531962</v>
      </c>
      <c r="CW30" s="163">
        <f>MIN(AZ33:CT33)</f>
        <v>185997985</v>
      </c>
      <c r="DA30" s="163">
        <f>MAX(CF33:CT33)</f>
        <v>340791856</v>
      </c>
      <c r="DB30" s="163">
        <f>MIN(CF33:CT33)</f>
        <v>302151318</v>
      </c>
    </row>
    <row r="31" spans="1:114" ht="15">
      <c r="A31" s="145" t="s">
        <v>284</v>
      </c>
      <c r="B31" s="146" t="s">
        <v>74</v>
      </c>
      <c r="C31" s="147">
        <v>0</v>
      </c>
      <c r="D31" s="148">
        <v>0</v>
      </c>
      <c r="E31" s="148">
        <v>0</v>
      </c>
      <c r="F31" s="148">
        <v>0</v>
      </c>
      <c r="G31" s="148">
        <v>0</v>
      </c>
      <c r="H31" s="148">
        <v>0</v>
      </c>
      <c r="I31" s="148">
        <v>0</v>
      </c>
      <c r="J31" s="148">
        <v>0</v>
      </c>
      <c r="K31" s="148">
        <v>0</v>
      </c>
      <c r="L31" s="148">
        <v>0</v>
      </c>
      <c r="M31" s="148">
        <v>0</v>
      </c>
      <c r="N31" s="148">
        <v>0</v>
      </c>
      <c r="O31" s="148">
        <v>0</v>
      </c>
      <c r="P31" s="148">
        <v>0</v>
      </c>
      <c r="Q31" s="148">
        <v>0</v>
      </c>
      <c r="R31" s="148">
        <v>0</v>
      </c>
      <c r="S31" s="148">
        <v>0</v>
      </c>
      <c r="T31" s="148">
        <v>0</v>
      </c>
      <c r="U31" s="148">
        <v>0</v>
      </c>
      <c r="V31" s="148">
        <v>0</v>
      </c>
      <c r="W31" s="148">
        <v>0</v>
      </c>
      <c r="X31" s="148">
        <v>0</v>
      </c>
      <c r="Y31" s="148">
        <v>0</v>
      </c>
      <c r="Z31" s="148">
        <v>0</v>
      </c>
      <c r="AA31" s="148">
        <v>0</v>
      </c>
      <c r="AB31" s="148">
        <v>0</v>
      </c>
      <c r="AC31" s="148">
        <v>0</v>
      </c>
      <c r="AD31" s="148">
        <v>0</v>
      </c>
      <c r="AE31" s="148">
        <v>0</v>
      </c>
      <c r="AF31" s="148">
        <v>0</v>
      </c>
      <c r="AG31" s="148">
        <v>0</v>
      </c>
      <c r="AH31" s="148">
        <v>0</v>
      </c>
      <c r="AI31" s="148">
        <v>0</v>
      </c>
      <c r="AJ31" s="148">
        <v>0</v>
      </c>
      <c r="AK31" s="148">
        <v>0</v>
      </c>
      <c r="AL31" s="148">
        <v>0</v>
      </c>
      <c r="AM31" s="148">
        <v>0</v>
      </c>
      <c r="AN31" s="148">
        <v>0</v>
      </c>
      <c r="AO31" s="148">
        <v>0</v>
      </c>
      <c r="AP31" s="148">
        <v>0</v>
      </c>
      <c r="AQ31" s="148">
        <v>0</v>
      </c>
      <c r="AR31" s="148">
        <v>0</v>
      </c>
      <c r="AS31" s="148">
        <v>0</v>
      </c>
      <c r="AT31" s="148">
        <v>0</v>
      </c>
      <c r="AU31" s="148">
        <v>0</v>
      </c>
      <c r="AV31" s="148">
        <v>0</v>
      </c>
      <c r="AW31" s="149">
        <v>0</v>
      </c>
    </row>
    <row r="32" spans="1:114" ht="15">
      <c r="A32" s="145" t="s">
        <v>284</v>
      </c>
      <c r="B32" s="146" t="s">
        <v>266</v>
      </c>
      <c r="C32" s="147">
        <v>0</v>
      </c>
      <c r="D32" s="148">
        <v>0</v>
      </c>
      <c r="E32" s="148">
        <v>0</v>
      </c>
      <c r="F32" s="148">
        <v>0</v>
      </c>
      <c r="G32" s="148">
        <v>0</v>
      </c>
      <c r="H32" s="148">
        <v>0</v>
      </c>
      <c r="I32" s="148">
        <v>0</v>
      </c>
      <c r="J32" s="148">
        <v>0</v>
      </c>
      <c r="K32" s="148">
        <v>0</v>
      </c>
      <c r="L32" s="148">
        <v>0</v>
      </c>
      <c r="M32" s="148">
        <v>0</v>
      </c>
      <c r="N32" s="148">
        <v>0</v>
      </c>
      <c r="O32" s="148">
        <v>0</v>
      </c>
      <c r="P32" s="148">
        <v>0</v>
      </c>
      <c r="Q32" s="148">
        <v>0</v>
      </c>
      <c r="R32" s="148">
        <v>0</v>
      </c>
      <c r="S32" s="148">
        <v>0</v>
      </c>
      <c r="T32" s="148">
        <v>0</v>
      </c>
      <c r="U32" s="148">
        <v>0</v>
      </c>
      <c r="V32" s="148">
        <v>0</v>
      </c>
      <c r="W32" s="148">
        <v>0</v>
      </c>
      <c r="X32" s="148">
        <v>0</v>
      </c>
      <c r="Y32" s="148">
        <v>0</v>
      </c>
      <c r="Z32" s="148">
        <v>0</v>
      </c>
      <c r="AA32" s="148">
        <v>0</v>
      </c>
      <c r="AB32" s="148">
        <v>0</v>
      </c>
      <c r="AC32" s="148">
        <v>0</v>
      </c>
      <c r="AD32" s="148">
        <v>0</v>
      </c>
      <c r="AE32" s="148">
        <v>0</v>
      </c>
      <c r="AF32" s="148">
        <v>0</v>
      </c>
      <c r="AG32" s="148">
        <v>0</v>
      </c>
      <c r="AH32" s="148">
        <v>0</v>
      </c>
      <c r="AI32" s="148">
        <v>0</v>
      </c>
      <c r="AJ32" s="148">
        <v>0</v>
      </c>
      <c r="AK32" s="148">
        <v>0</v>
      </c>
      <c r="AL32" s="148">
        <v>0</v>
      </c>
      <c r="AM32" s="148">
        <v>0</v>
      </c>
      <c r="AN32" s="148">
        <v>0</v>
      </c>
      <c r="AO32" s="148">
        <v>0</v>
      </c>
      <c r="AP32" s="148">
        <v>0</v>
      </c>
      <c r="AQ32" s="148">
        <v>0</v>
      </c>
      <c r="AR32" s="148">
        <v>0</v>
      </c>
      <c r="AS32" s="148">
        <v>0</v>
      </c>
      <c r="AT32" s="148">
        <v>0</v>
      </c>
      <c r="AU32" s="148">
        <v>0</v>
      </c>
      <c r="AV32" s="148">
        <v>0</v>
      </c>
      <c r="AW32" s="149">
        <v>0</v>
      </c>
      <c r="AY32" s="126" t="s">
        <v>288</v>
      </c>
      <c r="AZ32" s="164">
        <f>AZ27+AZ28</f>
        <v>185997985</v>
      </c>
      <c r="BA32" s="164">
        <f t="shared" ref="BA32:CT32" si="15">BA27+BA28</f>
        <v>273247012</v>
      </c>
      <c r="BB32" s="164">
        <f t="shared" si="15"/>
        <v>282278379</v>
      </c>
      <c r="BC32" s="164">
        <f t="shared" si="15"/>
        <v>382445493</v>
      </c>
      <c r="BD32" s="164">
        <f t="shared" si="15"/>
        <v>417950029</v>
      </c>
      <c r="BE32" s="164">
        <f t="shared" si="15"/>
        <v>426965749</v>
      </c>
      <c r="BF32" s="164">
        <f t="shared" si="15"/>
        <v>405622181</v>
      </c>
      <c r="BG32" s="164">
        <f t="shared" si="15"/>
        <v>419941430</v>
      </c>
      <c r="BH32" s="164">
        <f t="shared" si="15"/>
        <v>391987423</v>
      </c>
      <c r="BI32" s="164">
        <f t="shared" si="15"/>
        <v>326767135</v>
      </c>
      <c r="BJ32" s="164">
        <f t="shared" si="15"/>
        <v>333131213</v>
      </c>
      <c r="BK32" s="164">
        <f t="shared" si="15"/>
        <v>317747005</v>
      </c>
      <c r="BL32" s="164">
        <f t="shared" si="15"/>
        <v>326577163</v>
      </c>
      <c r="BM32" s="164">
        <f t="shared" si="15"/>
        <v>354287131</v>
      </c>
      <c r="BN32" s="164">
        <f t="shared" si="15"/>
        <v>294989987</v>
      </c>
      <c r="BO32" s="164">
        <f t="shared" si="15"/>
        <v>259349163</v>
      </c>
      <c r="BP32" s="164">
        <f t="shared" si="15"/>
        <v>253610738</v>
      </c>
      <c r="BQ32" s="164">
        <f t="shared" si="15"/>
        <v>293692972</v>
      </c>
      <c r="BR32" s="164">
        <f t="shared" si="15"/>
        <v>310681405</v>
      </c>
      <c r="BS32" s="164">
        <f t="shared" si="15"/>
        <v>297248241</v>
      </c>
      <c r="BT32" s="164">
        <f t="shared" si="15"/>
        <v>329647657</v>
      </c>
      <c r="BU32" s="164">
        <f t="shared" si="15"/>
        <v>323119788</v>
      </c>
      <c r="BV32" s="164">
        <f t="shared" si="15"/>
        <v>341268773</v>
      </c>
      <c r="BW32" s="164">
        <f t="shared" si="15"/>
        <v>357255937</v>
      </c>
      <c r="BX32" s="164">
        <f t="shared" si="15"/>
        <v>335556304</v>
      </c>
      <c r="BY32" s="164">
        <f t="shared" si="15"/>
        <v>348179989</v>
      </c>
      <c r="BZ32" s="164">
        <f t="shared" si="15"/>
        <v>362882399</v>
      </c>
      <c r="CA32" s="164">
        <f t="shared" si="15"/>
        <v>379326702</v>
      </c>
      <c r="CB32" s="164">
        <f t="shared" si="15"/>
        <v>377075013</v>
      </c>
      <c r="CC32" s="164">
        <f t="shared" si="15"/>
        <v>409570012</v>
      </c>
      <c r="CD32" s="164">
        <f t="shared" si="15"/>
        <v>452713488</v>
      </c>
      <c r="CE32" s="164">
        <f t="shared" si="15"/>
        <v>368360938</v>
      </c>
      <c r="CF32" s="164">
        <f t="shared" si="15"/>
        <v>341283367</v>
      </c>
      <c r="CG32" s="164">
        <f t="shared" si="15"/>
        <v>348020291</v>
      </c>
      <c r="CH32" s="164">
        <f t="shared" si="15"/>
        <v>351383765</v>
      </c>
      <c r="CI32" s="164">
        <f t="shared" si="15"/>
        <v>346237254</v>
      </c>
      <c r="CJ32" s="164">
        <f t="shared" si="15"/>
        <v>335256550</v>
      </c>
      <c r="CK32" s="164">
        <f t="shared" si="15"/>
        <v>354211140</v>
      </c>
      <c r="CL32" s="164">
        <f t="shared" si="15"/>
        <v>344848452</v>
      </c>
      <c r="CM32" s="164">
        <f t="shared" si="15"/>
        <v>334538371</v>
      </c>
      <c r="CN32" s="164">
        <f t="shared" si="15"/>
        <v>346927641</v>
      </c>
      <c r="CO32" s="164">
        <f t="shared" si="15"/>
        <v>334031812</v>
      </c>
      <c r="CP32" s="164">
        <f t="shared" si="15"/>
        <v>335121752</v>
      </c>
      <c r="CQ32" s="164">
        <f t="shared" si="15"/>
        <v>336952762</v>
      </c>
      <c r="CR32" s="164">
        <f t="shared" si="15"/>
        <v>316241686</v>
      </c>
      <c r="CS32" s="164">
        <f t="shared" si="15"/>
        <v>329694471</v>
      </c>
      <c r="CT32" s="164">
        <f t="shared" si="15"/>
        <v>363121921</v>
      </c>
      <c r="CV32" s="150" t="s">
        <v>142</v>
      </c>
      <c r="CW32" s="150" t="s">
        <v>143</v>
      </c>
      <c r="CX32" s="150" t="s">
        <v>144</v>
      </c>
      <c r="CZ32" s="150" t="s">
        <v>145</v>
      </c>
      <c r="DA32" s="150" t="s">
        <v>142</v>
      </c>
      <c r="DB32" s="150" t="s">
        <v>143</v>
      </c>
      <c r="DC32" s="150" t="s">
        <v>144</v>
      </c>
    </row>
    <row r="33" spans="1:107" ht="15.75" thickBot="1">
      <c r="A33" s="165" t="s">
        <v>284</v>
      </c>
      <c r="B33" s="166" t="s">
        <v>267</v>
      </c>
      <c r="C33" s="167">
        <v>0</v>
      </c>
      <c r="D33" s="168">
        <v>0</v>
      </c>
      <c r="E33" s="168">
        <v>0</v>
      </c>
      <c r="F33" s="168">
        <v>0</v>
      </c>
      <c r="G33" s="168">
        <v>0</v>
      </c>
      <c r="H33" s="168">
        <v>0</v>
      </c>
      <c r="I33" s="168">
        <v>0</v>
      </c>
      <c r="J33" s="168">
        <v>0</v>
      </c>
      <c r="K33" s="168">
        <v>0</v>
      </c>
      <c r="L33" s="168">
        <v>0</v>
      </c>
      <c r="M33" s="168">
        <v>0</v>
      </c>
      <c r="N33" s="168">
        <v>0</v>
      </c>
      <c r="O33" s="168">
        <v>0</v>
      </c>
      <c r="P33" s="168">
        <v>0</v>
      </c>
      <c r="Q33" s="168">
        <v>0</v>
      </c>
      <c r="R33" s="168">
        <v>0</v>
      </c>
      <c r="S33" s="168">
        <v>0</v>
      </c>
      <c r="T33" s="168">
        <v>0</v>
      </c>
      <c r="U33" s="168">
        <v>0</v>
      </c>
      <c r="V33" s="168">
        <v>0</v>
      </c>
      <c r="W33" s="168">
        <v>0</v>
      </c>
      <c r="X33" s="168">
        <v>0</v>
      </c>
      <c r="Y33" s="168">
        <v>0</v>
      </c>
      <c r="Z33" s="168">
        <v>0</v>
      </c>
      <c r="AA33" s="168">
        <v>0</v>
      </c>
      <c r="AB33" s="168">
        <v>0</v>
      </c>
      <c r="AC33" s="168">
        <v>0</v>
      </c>
      <c r="AD33" s="168">
        <v>0</v>
      </c>
      <c r="AE33" s="168">
        <v>0</v>
      </c>
      <c r="AF33" s="168">
        <v>0</v>
      </c>
      <c r="AG33" s="168">
        <v>0</v>
      </c>
      <c r="AH33" s="168">
        <v>0</v>
      </c>
      <c r="AI33" s="168">
        <v>0</v>
      </c>
      <c r="AJ33" s="168">
        <v>0</v>
      </c>
      <c r="AK33" s="168">
        <v>0</v>
      </c>
      <c r="AL33" s="168">
        <v>0</v>
      </c>
      <c r="AM33" s="168">
        <v>0</v>
      </c>
      <c r="AN33" s="168">
        <v>0</v>
      </c>
      <c r="AO33" s="168">
        <v>0</v>
      </c>
      <c r="AP33" s="168">
        <v>0</v>
      </c>
      <c r="AQ33" s="168">
        <v>0</v>
      </c>
      <c r="AR33" s="168">
        <v>0</v>
      </c>
      <c r="AS33" s="168">
        <v>0</v>
      </c>
      <c r="AT33" s="168">
        <v>0</v>
      </c>
      <c r="AU33" s="168">
        <v>0</v>
      </c>
      <c r="AV33" s="168">
        <v>0</v>
      </c>
      <c r="AW33" s="169">
        <v>0</v>
      </c>
      <c r="AY33" s="170" t="s">
        <v>289</v>
      </c>
      <c r="AZ33" s="171">
        <f>AZ27+AZ28</f>
        <v>185997985</v>
      </c>
      <c r="BA33" s="171">
        <f t="shared" ref="BA33:CT33" si="16">SUM(D59:D64)</f>
        <v>251704793</v>
      </c>
      <c r="BB33" s="171">
        <f t="shared" si="16"/>
        <v>270770737</v>
      </c>
      <c r="BC33" s="171">
        <f t="shared" si="16"/>
        <v>347728216</v>
      </c>
      <c r="BD33" s="171">
        <f t="shared" si="16"/>
        <v>392284484</v>
      </c>
      <c r="BE33" s="171">
        <f t="shared" si="16"/>
        <v>414106598</v>
      </c>
      <c r="BF33" s="171">
        <f t="shared" si="16"/>
        <v>386088505</v>
      </c>
      <c r="BG33" s="171">
        <f t="shared" si="16"/>
        <v>374912096</v>
      </c>
      <c r="BH33" s="171">
        <f t="shared" si="16"/>
        <v>356999977</v>
      </c>
      <c r="BI33" s="171">
        <f t="shared" si="16"/>
        <v>302623605</v>
      </c>
      <c r="BJ33" s="171">
        <f t="shared" si="16"/>
        <v>310196442</v>
      </c>
      <c r="BK33" s="171">
        <f t="shared" si="16"/>
        <v>293976743</v>
      </c>
      <c r="BL33" s="171">
        <f t="shared" si="16"/>
        <v>304826194</v>
      </c>
      <c r="BM33" s="171">
        <f t="shared" si="16"/>
        <v>332678230</v>
      </c>
      <c r="BN33" s="171">
        <f t="shared" si="16"/>
        <v>261820013</v>
      </c>
      <c r="BO33" s="171">
        <f t="shared" si="16"/>
        <v>238158890</v>
      </c>
      <c r="BP33" s="171">
        <f t="shared" si="16"/>
        <v>232599796</v>
      </c>
      <c r="BQ33" s="171">
        <f t="shared" si="16"/>
        <v>275037824</v>
      </c>
      <c r="BR33" s="171">
        <f t="shared" si="16"/>
        <v>297015617</v>
      </c>
      <c r="BS33" s="171">
        <f t="shared" si="16"/>
        <v>279242244</v>
      </c>
      <c r="BT33" s="171">
        <f t="shared" si="16"/>
        <v>309649584</v>
      </c>
      <c r="BU33" s="171">
        <f t="shared" si="16"/>
        <v>307560234</v>
      </c>
      <c r="BV33" s="171">
        <f t="shared" si="16"/>
        <v>322832798</v>
      </c>
      <c r="BW33" s="171">
        <f t="shared" si="16"/>
        <v>334999471</v>
      </c>
      <c r="BX33" s="171">
        <f t="shared" si="16"/>
        <v>316500954</v>
      </c>
      <c r="BY33" s="171">
        <f t="shared" si="16"/>
        <v>328512311</v>
      </c>
      <c r="BZ33" s="171">
        <f t="shared" si="16"/>
        <v>339605897</v>
      </c>
      <c r="CA33" s="171">
        <f t="shared" si="16"/>
        <v>350047040</v>
      </c>
      <c r="CB33" s="171">
        <f t="shared" si="16"/>
        <v>357715341</v>
      </c>
      <c r="CC33" s="171">
        <f t="shared" si="16"/>
        <v>386056663</v>
      </c>
      <c r="CD33" s="171">
        <f t="shared" si="16"/>
        <v>435531962</v>
      </c>
      <c r="CE33" s="171">
        <f t="shared" si="16"/>
        <v>352173199</v>
      </c>
      <c r="CF33" s="171">
        <f t="shared" si="16"/>
        <v>320671170</v>
      </c>
      <c r="CG33" s="171">
        <f t="shared" si="16"/>
        <v>320558711</v>
      </c>
      <c r="CH33" s="171">
        <f t="shared" si="16"/>
        <v>330749792</v>
      </c>
      <c r="CI33" s="171">
        <f t="shared" si="16"/>
        <v>330676682</v>
      </c>
      <c r="CJ33" s="171">
        <f t="shared" si="16"/>
        <v>316421486</v>
      </c>
      <c r="CK33" s="171">
        <f t="shared" si="16"/>
        <v>331533505</v>
      </c>
      <c r="CL33" s="171">
        <f t="shared" si="16"/>
        <v>322187334</v>
      </c>
      <c r="CM33" s="171">
        <f t="shared" si="16"/>
        <v>310642780</v>
      </c>
      <c r="CN33" s="171">
        <f t="shared" si="16"/>
        <v>325306779</v>
      </c>
      <c r="CO33" s="171">
        <f t="shared" si="16"/>
        <v>318323953</v>
      </c>
      <c r="CP33" s="171">
        <f t="shared" si="16"/>
        <v>314051007</v>
      </c>
      <c r="CQ33" s="171">
        <f t="shared" si="16"/>
        <v>315644529</v>
      </c>
      <c r="CR33" s="171">
        <f t="shared" si="16"/>
        <v>302151318</v>
      </c>
      <c r="CS33" s="171">
        <f t="shared" si="16"/>
        <v>305469845</v>
      </c>
      <c r="CT33" s="171">
        <f t="shared" si="16"/>
        <v>340791856</v>
      </c>
      <c r="CV33" s="172">
        <f>MIN(AZ35:CT35)</f>
        <v>0.88755559353951907</v>
      </c>
      <c r="CW33" s="172">
        <f>AVERAGE(AZ35:CT35)</f>
        <v>0.93782004065320823</v>
      </c>
      <c r="CX33" s="172">
        <f>MAX(AZ35:CT35)</f>
        <v>1</v>
      </c>
      <c r="DA33" s="172">
        <f>MIN(CF35:CT35)</f>
        <v>0.9210920147181878</v>
      </c>
      <c r="DB33" s="172">
        <f>AVERAGE(CF35:CT35)</f>
        <v>0.93898005451667677</v>
      </c>
      <c r="DC33" s="172">
        <f>MAX(CF35:CT35)</f>
        <v>0.9554443053405679</v>
      </c>
    </row>
    <row r="34" spans="1:107" ht="13.5" thickTop="1">
      <c r="AZ34" s="173"/>
      <c r="BA34" s="173"/>
      <c r="BB34" s="173"/>
      <c r="BC34" s="173"/>
      <c r="BD34" s="173"/>
      <c r="BE34" s="173"/>
      <c r="BF34" s="173"/>
      <c r="BG34" s="173"/>
      <c r="BH34" s="173"/>
      <c r="BI34" s="173"/>
      <c r="BJ34" s="173"/>
      <c r="BK34" s="173"/>
      <c r="BL34" s="173"/>
      <c r="BM34" s="173"/>
      <c r="BN34" s="173"/>
      <c r="BO34" s="173"/>
      <c r="BP34" s="173"/>
      <c r="BQ34" s="173"/>
      <c r="BR34" s="173"/>
      <c r="BS34" s="173"/>
      <c r="BT34" s="173"/>
      <c r="BU34" s="173"/>
      <c r="BV34" s="173"/>
      <c r="BW34" s="173"/>
      <c r="BX34" s="173"/>
      <c r="BY34" s="173"/>
      <c r="BZ34" s="173"/>
      <c r="CA34" s="173"/>
      <c r="CB34" s="173"/>
      <c r="CC34" s="173"/>
      <c r="CD34" s="173"/>
      <c r="CE34" s="173"/>
      <c r="CF34" s="173"/>
      <c r="CG34" s="173"/>
      <c r="CH34" s="173"/>
      <c r="CI34" s="173"/>
      <c r="CJ34" s="173"/>
      <c r="CK34" s="173"/>
      <c r="CL34" s="173"/>
      <c r="CM34" s="173"/>
      <c r="CN34" s="173"/>
      <c r="CO34" s="173"/>
      <c r="CP34" s="173"/>
      <c r="CQ34" s="173"/>
      <c r="CR34" s="173"/>
      <c r="CS34" s="173"/>
      <c r="CT34" s="173"/>
    </row>
    <row r="35" spans="1:107" ht="15.75" thickBot="1">
      <c r="A35" s="127" t="s">
        <v>290</v>
      </c>
      <c r="AY35" s="123" t="s">
        <v>86</v>
      </c>
      <c r="AZ35" s="174">
        <f t="shared" ref="AZ35:CT35" si="17">AZ33/(AZ28+AZ27)</f>
        <v>1</v>
      </c>
      <c r="BA35" s="174">
        <f t="shared" si="17"/>
        <v>0.92116210588242409</v>
      </c>
      <c r="BB35" s="174">
        <f t="shared" si="17"/>
        <v>0.95923300239725406</v>
      </c>
      <c r="BC35" s="174">
        <f t="shared" si="17"/>
        <v>0.909222941215312</v>
      </c>
      <c r="BD35" s="174">
        <f t="shared" si="17"/>
        <v>0.9385918334270531</v>
      </c>
      <c r="BE35" s="174">
        <f t="shared" si="17"/>
        <v>0.96988247645129022</v>
      </c>
      <c r="BF35" s="174">
        <f t="shared" si="17"/>
        <v>0.95184268288326179</v>
      </c>
      <c r="BG35" s="174">
        <f t="shared" si="17"/>
        <v>0.89277234684846407</v>
      </c>
      <c r="BH35" s="174">
        <f t="shared" si="17"/>
        <v>0.91074344750086533</v>
      </c>
      <c r="BI35" s="174">
        <f t="shared" si="17"/>
        <v>0.92611395879821268</v>
      </c>
      <c r="BJ35" s="174">
        <f t="shared" si="17"/>
        <v>0.93115394143508257</v>
      </c>
      <c r="BK35" s="174">
        <f t="shared" si="17"/>
        <v>0.92519123193623809</v>
      </c>
      <c r="BL35" s="174">
        <f t="shared" si="17"/>
        <v>0.93339715245183874</v>
      </c>
      <c r="BM35" s="174">
        <f t="shared" si="17"/>
        <v>0.93900737817089952</v>
      </c>
      <c r="BN35" s="174">
        <f t="shared" si="17"/>
        <v>0.88755559353951907</v>
      </c>
      <c r="BO35" s="174">
        <f t="shared" si="17"/>
        <v>0.91829442302846376</v>
      </c>
      <c r="BP35" s="174">
        <f t="shared" si="17"/>
        <v>0.91715279027341501</v>
      </c>
      <c r="BQ35" s="174">
        <f t="shared" si="17"/>
        <v>0.93648078170559701</v>
      </c>
      <c r="BR35" s="174">
        <f t="shared" si="17"/>
        <v>0.95601349878020536</v>
      </c>
      <c r="BS35" s="174">
        <f t="shared" si="17"/>
        <v>0.93942437829262038</v>
      </c>
      <c r="BT35" s="174">
        <f t="shared" si="17"/>
        <v>0.93933500640655243</v>
      </c>
      <c r="BU35" s="174">
        <f t="shared" si="17"/>
        <v>0.95184586466737842</v>
      </c>
      <c r="BV35" s="174">
        <f t="shared" si="17"/>
        <v>0.94597813671044551</v>
      </c>
      <c r="BW35" s="174">
        <f t="shared" si="17"/>
        <v>0.93770162033724302</v>
      </c>
      <c r="BX35" s="174">
        <f t="shared" si="17"/>
        <v>0.94321265977467672</v>
      </c>
      <c r="BY35" s="174">
        <f t="shared" si="17"/>
        <v>0.94351289958826434</v>
      </c>
      <c r="BZ35" s="174">
        <f t="shared" si="17"/>
        <v>0.93585662444873774</v>
      </c>
      <c r="CA35" s="174">
        <f t="shared" si="17"/>
        <v>0.92281149245327843</v>
      </c>
      <c r="CB35" s="174">
        <f t="shared" si="17"/>
        <v>0.94865830051698496</v>
      </c>
      <c r="CC35" s="174">
        <f t="shared" si="17"/>
        <v>0.94259015965260662</v>
      </c>
      <c r="CD35" s="174">
        <f t="shared" si="17"/>
        <v>0.96204768257313333</v>
      </c>
      <c r="CE35" s="174">
        <f t="shared" si="17"/>
        <v>0.95605468080331579</v>
      </c>
      <c r="CF35" s="174">
        <f t="shared" si="17"/>
        <v>0.93960386296821785</v>
      </c>
      <c r="CG35" s="174">
        <f t="shared" si="17"/>
        <v>0.9210920147181878</v>
      </c>
      <c r="CH35" s="174">
        <f t="shared" si="17"/>
        <v>0.94127795574163764</v>
      </c>
      <c r="CI35" s="174">
        <f t="shared" si="17"/>
        <v>0.95505806547322025</v>
      </c>
      <c r="CJ35" s="174">
        <f t="shared" si="17"/>
        <v>0.94381895297795082</v>
      </c>
      <c r="CK35" s="174">
        <f t="shared" si="17"/>
        <v>0.93597707006052944</v>
      </c>
      <c r="CL35" s="174">
        <f t="shared" si="17"/>
        <v>0.93428673416228647</v>
      </c>
      <c r="CM35" s="174">
        <f t="shared" si="17"/>
        <v>0.92857144928227087</v>
      </c>
      <c r="CN35" s="174">
        <f t="shared" si="17"/>
        <v>0.93767904472045227</v>
      </c>
      <c r="CO35" s="174">
        <f t="shared" si="17"/>
        <v>0.95297496095970646</v>
      </c>
      <c r="CP35" s="174">
        <f t="shared" si="17"/>
        <v>0.93712510490814094</v>
      </c>
      <c r="CQ35" s="174">
        <f t="shared" si="17"/>
        <v>0.93676195774884319</v>
      </c>
      <c r="CR35" s="174">
        <f t="shared" si="17"/>
        <v>0.9554443053405679</v>
      </c>
      <c r="CS35" s="174">
        <f t="shared" si="17"/>
        <v>0.92652401501752812</v>
      </c>
      <c r="CT35" s="174">
        <f t="shared" si="17"/>
        <v>0.93850532367061368</v>
      </c>
    </row>
    <row r="36" spans="1:107" ht="31.5" thickTop="1" thickBot="1">
      <c r="A36" s="140" t="s">
        <v>140</v>
      </c>
      <c r="B36" s="141" t="s">
        <v>141</v>
      </c>
      <c r="C36" s="142">
        <v>1966</v>
      </c>
      <c r="D36" s="143">
        <v>1967</v>
      </c>
      <c r="E36" s="143">
        <v>1968</v>
      </c>
      <c r="F36" s="143">
        <v>1969</v>
      </c>
      <c r="G36" s="143">
        <v>1970</v>
      </c>
      <c r="H36" s="143">
        <v>1971</v>
      </c>
      <c r="I36" s="143">
        <v>1972</v>
      </c>
      <c r="J36" s="143">
        <v>1973</v>
      </c>
      <c r="K36" s="143">
        <v>1974</v>
      </c>
      <c r="L36" s="143">
        <v>1975</v>
      </c>
      <c r="M36" s="143">
        <v>1976</v>
      </c>
      <c r="N36" s="143">
        <v>1977</v>
      </c>
      <c r="O36" s="143">
        <v>1978</v>
      </c>
      <c r="P36" s="143">
        <v>1979</v>
      </c>
      <c r="Q36" s="143">
        <v>1980</v>
      </c>
      <c r="R36" s="143">
        <v>1981</v>
      </c>
      <c r="S36" s="143">
        <v>1982</v>
      </c>
      <c r="T36" s="143">
        <v>1983</v>
      </c>
      <c r="U36" s="143">
        <v>1984</v>
      </c>
      <c r="V36" s="143">
        <v>1985</v>
      </c>
      <c r="W36" s="143">
        <v>1986</v>
      </c>
      <c r="X36" s="143">
        <v>1987</v>
      </c>
      <c r="Y36" s="143">
        <v>1988</v>
      </c>
      <c r="Z36" s="143">
        <v>1989</v>
      </c>
      <c r="AA36" s="143">
        <v>1990</v>
      </c>
      <c r="AB36" s="143">
        <v>1991</v>
      </c>
      <c r="AC36" s="143">
        <v>1992</v>
      </c>
      <c r="AD36" s="143">
        <v>1993</v>
      </c>
      <c r="AE36" s="143">
        <v>1994</v>
      </c>
      <c r="AF36" s="143">
        <v>1995</v>
      </c>
      <c r="AG36" s="143">
        <v>1996</v>
      </c>
      <c r="AH36" s="143">
        <v>1997</v>
      </c>
      <c r="AI36" s="143">
        <v>1998</v>
      </c>
      <c r="AJ36" s="143">
        <v>1999</v>
      </c>
      <c r="AK36" s="143">
        <v>2000</v>
      </c>
      <c r="AL36" s="143">
        <v>2001</v>
      </c>
      <c r="AM36" s="143">
        <v>2002</v>
      </c>
      <c r="AN36" s="143">
        <v>2003</v>
      </c>
      <c r="AO36" s="143">
        <v>2004</v>
      </c>
      <c r="AP36" s="143">
        <v>2005</v>
      </c>
      <c r="AQ36" s="143">
        <v>2006</v>
      </c>
      <c r="AR36" s="143">
        <v>2007</v>
      </c>
      <c r="AS36" s="143">
        <v>2008</v>
      </c>
      <c r="AT36" s="143">
        <v>2009</v>
      </c>
      <c r="AU36" s="143">
        <v>2010</v>
      </c>
      <c r="AV36" s="143">
        <v>2011</v>
      </c>
      <c r="AW36" s="144">
        <v>2012</v>
      </c>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c r="CS36" s="173"/>
      <c r="CT36" s="173"/>
    </row>
    <row r="37" spans="1:107" ht="15">
      <c r="A37" s="175" t="s">
        <v>284</v>
      </c>
      <c r="B37" s="156" t="s">
        <v>260</v>
      </c>
      <c r="C37" s="176">
        <v>185997985</v>
      </c>
      <c r="D37" s="177">
        <v>273247012</v>
      </c>
      <c r="E37" s="177">
        <v>282278379</v>
      </c>
      <c r="F37" s="177">
        <v>382445493</v>
      </c>
      <c r="G37" s="177">
        <v>417950029</v>
      </c>
      <c r="H37" s="177">
        <v>426965749</v>
      </c>
      <c r="I37" s="177">
        <v>405622181</v>
      </c>
      <c r="J37" s="177">
        <v>419941430</v>
      </c>
      <c r="K37" s="177">
        <v>395445381</v>
      </c>
      <c r="L37" s="177">
        <v>334381256</v>
      </c>
      <c r="M37" s="177">
        <v>326893057</v>
      </c>
      <c r="N37" s="177">
        <v>323173307</v>
      </c>
      <c r="O37" s="177">
        <v>334801625</v>
      </c>
      <c r="P37" s="177">
        <v>356687766</v>
      </c>
      <c r="Q37" s="177">
        <v>271367717</v>
      </c>
      <c r="R37" s="177">
        <v>244655971</v>
      </c>
      <c r="S37" s="177">
        <v>219934312</v>
      </c>
      <c r="T37" s="177">
        <v>266041514</v>
      </c>
      <c r="U37" s="177">
        <v>287567570</v>
      </c>
      <c r="V37" s="177">
        <v>279743964</v>
      </c>
      <c r="W37" s="177">
        <v>304432563</v>
      </c>
      <c r="X37" s="177">
        <v>296960845</v>
      </c>
      <c r="Y37" s="177">
        <v>310890390</v>
      </c>
      <c r="Z37" s="177">
        <v>323131975</v>
      </c>
      <c r="AA37" s="177">
        <v>308682005</v>
      </c>
      <c r="AB37" s="177">
        <v>331394770</v>
      </c>
      <c r="AC37" s="177">
        <v>355454908</v>
      </c>
      <c r="AD37" s="177">
        <v>356795000</v>
      </c>
      <c r="AE37" s="177">
        <v>365356400</v>
      </c>
      <c r="AF37" s="177">
        <v>412022100</v>
      </c>
      <c r="AG37" s="177">
        <v>448338000</v>
      </c>
      <c r="AH37" s="177">
        <v>365090511</v>
      </c>
      <c r="AI37" s="177">
        <v>340314599</v>
      </c>
      <c r="AJ37" s="177">
        <v>339203135</v>
      </c>
      <c r="AK37" s="177">
        <v>346270013</v>
      </c>
      <c r="AL37" s="177">
        <v>343914817</v>
      </c>
      <c r="AM37" s="177">
        <v>333095071</v>
      </c>
      <c r="AN37" s="177">
        <v>352220912</v>
      </c>
      <c r="AO37" s="177">
        <v>344651751</v>
      </c>
      <c r="AP37" s="177">
        <v>332180848</v>
      </c>
      <c r="AQ37" s="177">
        <v>343530612</v>
      </c>
      <c r="AR37" s="177">
        <v>333386568</v>
      </c>
      <c r="AS37" s="177">
        <v>334639330</v>
      </c>
      <c r="AT37" s="177">
        <v>335634780</v>
      </c>
      <c r="AU37" s="177">
        <v>314168191</v>
      </c>
      <c r="AV37" s="177">
        <v>327286287</v>
      </c>
      <c r="AW37" s="178">
        <v>362386542</v>
      </c>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9"/>
      <c r="CR37" s="173"/>
      <c r="CS37" s="173"/>
      <c r="CT37" s="173"/>
    </row>
    <row r="38" spans="1:107" ht="15">
      <c r="A38" s="175" t="s">
        <v>284</v>
      </c>
      <c r="B38" s="156" t="s">
        <v>261</v>
      </c>
      <c r="C38" s="176">
        <v>0</v>
      </c>
      <c r="D38" s="177">
        <v>0</v>
      </c>
      <c r="E38" s="177">
        <v>0</v>
      </c>
      <c r="F38" s="177">
        <v>0</v>
      </c>
      <c r="G38" s="177">
        <v>0</v>
      </c>
      <c r="H38" s="177">
        <v>0</v>
      </c>
      <c r="I38" s="177">
        <v>0</v>
      </c>
      <c r="J38" s="177">
        <v>0</v>
      </c>
      <c r="K38" s="177">
        <v>580861</v>
      </c>
      <c r="L38" s="177">
        <v>1043962</v>
      </c>
      <c r="M38" s="177">
        <v>17707318</v>
      </c>
      <c r="N38" s="177">
        <v>7997768</v>
      </c>
      <c r="O38" s="177">
        <v>7048312</v>
      </c>
      <c r="P38" s="177">
        <v>15999378</v>
      </c>
      <c r="Q38" s="177">
        <v>40447931</v>
      </c>
      <c r="R38" s="177">
        <v>18916466</v>
      </c>
      <c r="S38" s="177">
        <v>34931831</v>
      </c>
      <c r="T38" s="177">
        <v>27811868</v>
      </c>
      <c r="U38" s="177">
        <v>23113835</v>
      </c>
      <c r="V38" s="177">
        <v>17504277</v>
      </c>
      <c r="W38" s="177">
        <v>25215094</v>
      </c>
      <c r="X38" s="177">
        <v>26158943</v>
      </c>
      <c r="Y38" s="177">
        <v>30378383</v>
      </c>
      <c r="Z38" s="177">
        <v>34123962</v>
      </c>
      <c r="AA38" s="177">
        <v>26874299</v>
      </c>
      <c r="AB38" s="177">
        <v>16785219</v>
      </c>
      <c r="AC38" s="177">
        <v>7427491</v>
      </c>
      <c r="AD38" s="177">
        <v>22711040</v>
      </c>
      <c r="AE38" s="177">
        <v>11718613</v>
      </c>
      <c r="AF38" s="177">
        <v>7788812</v>
      </c>
      <c r="AG38" s="177">
        <v>5096000</v>
      </c>
      <c r="AH38" s="177">
        <v>3327099</v>
      </c>
      <c r="AI38" s="177">
        <v>2827414</v>
      </c>
      <c r="AJ38" s="177">
        <v>10851000</v>
      </c>
      <c r="AK38" s="177">
        <v>5716847</v>
      </c>
      <c r="AL38" s="177">
        <v>2741196</v>
      </c>
      <c r="AM38" s="177">
        <v>2738484</v>
      </c>
      <c r="AN38" s="177">
        <v>2580000</v>
      </c>
      <c r="AO38" s="177">
        <v>728103</v>
      </c>
      <c r="AP38" s="177">
        <v>2928251</v>
      </c>
      <c r="AQ38" s="177">
        <v>4057043</v>
      </c>
      <c r="AR38" s="177">
        <v>1195329</v>
      </c>
      <c r="AS38" s="177">
        <v>1336445</v>
      </c>
      <c r="AT38" s="177">
        <v>1803916</v>
      </c>
      <c r="AU38" s="177">
        <v>2213437</v>
      </c>
      <c r="AV38" s="177">
        <v>2414087</v>
      </c>
      <c r="AW38" s="178">
        <v>740546</v>
      </c>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row>
    <row r="39" spans="1:107" ht="15">
      <c r="A39" s="145" t="s">
        <v>284</v>
      </c>
      <c r="B39" s="146" t="s">
        <v>262</v>
      </c>
      <c r="C39" s="147">
        <v>0</v>
      </c>
      <c r="D39" s="148">
        <v>0</v>
      </c>
      <c r="E39" s="148">
        <v>0</v>
      </c>
      <c r="F39" s="148">
        <v>0</v>
      </c>
      <c r="G39" s="148">
        <v>0</v>
      </c>
      <c r="H39" s="148">
        <v>0</v>
      </c>
      <c r="I39" s="148">
        <v>0</v>
      </c>
      <c r="J39" s="148">
        <v>0</v>
      </c>
      <c r="K39" s="148">
        <v>0</v>
      </c>
      <c r="L39" s="148">
        <v>16323187</v>
      </c>
      <c r="M39" s="148">
        <v>15047699</v>
      </c>
      <c r="N39" s="148">
        <v>15637362</v>
      </c>
      <c r="O39" s="148">
        <v>13193154</v>
      </c>
      <c r="P39" s="148">
        <v>14051245</v>
      </c>
      <c r="Q39" s="148">
        <v>11201509</v>
      </c>
      <c r="R39" s="148">
        <v>13766937</v>
      </c>
      <c r="S39" s="148">
        <v>13831447</v>
      </c>
      <c r="T39" s="148">
        <v>12413750</v>
      </c>
      <c r="U39" s="148">
        <v>13392263</v>
      </c>
      <c r="V39" s="148">
        <v>11667536</v>
      </c>
      <c r="W39" s="148">
        <v>13168000</v>
      </c>
      <c r="X39" s="148">
        <v>13253000</v>
      </c>
      <c r="Y39" s="148">
        <v>13619000</v>
      </c>
      <c r="Z39" s="148">
        <v>14632000</v>
      </c>
      <c r="AA39" s="148">
        <v>14169000</v>
      </c>
      <c r="AB39" s="148">
        <v>14537000</v>
      </c>
      <c r="AC39" s="148">
        <v>14865000</v>
      </c>
      <c r="AD39" s="148">
        <v>15405000</v>
      </c>
      <c r="AE39" s="148">
        <v>15895000</v>
      </c>
      <c r="AF39" s="148">
        <v>19345000</v>
      </c>
      <c r="AG39" s="148">
        <v>21440796</v>
      </c>
      <c r="AH39" s="148">
        <v>16905304</v>
      </c>
      <c r="AI39" s="148">
        <v>15225340</v>
      </c>
      <c r="AJ39" s="148">
        <v>15723812</v>
      </c>
      <c r="AK39" s="148">
        <v>15556268</v>
      </c>
      <c r="AL39" s="148">
        <v>15755428</v>
      </c>
      <c r="AM39" s="148">
        <v>15197000</v>
      </c>
      <c r="AN39" s="148">
        <v>16554512</v>
      </c>
      <c r="AO39" s="148">
        <v>15890576</v>
      </c>
      <c r="AP39" s="148">
        <v>15347072</v>
      </c>
      <c r="AQ39" s="148">
        <v>16115632</v>
      </c>
      <c r="AR39" s="148">
        <v>15916264</v>
      </c>
      <c r="AS39" s="148">
        <v>14782248</v>
      </c>
      <c r="AT39" s="148">
        <v>15419352</v>
      </c>
      <c r="AU39" s="148">
        <v>13679796</v>
      </c>
      <c r="AV39" s="148">
        <v>14957592</v>
      </c>
      <c r="AW39" s="149">
        <v>15632500</v>
      </c>
    </row>
    <row r="40" spans="1:107" ht="15">
      <c r="A40" s="145" t="s">
        <v>284</v>
      </c>
      <c r="B40" s="146" t="s">
        <v>79</v>
      </c>
      <c r="C40" s="147">
        <v>699275</v>
      </c>
      <c r="D40" s="148">
        <v>809417</v>
      </c>
      <c r="E40" s="148">
        <v>892837</v>
      </c>
      <c r="F40" s="148">
        <v>1045873</v>
      </c>
      <c r="G40" s="148">
        <v>1144949</v>
      </c>
      <c r="H40" s="148">
        <v>1219003</v>
      </c>
      <c r="I40" s="148">
        <v>1385357</v>
      </c>
      <c r="J40" s="148">
        <v>1333183</v>
      </c>
      <c r="K40" s="148">
        <v>1221838</v>
      </c>
      <c r="L40" s="148">
        <v>1086020</v>
      </c>
      <c r="M40" s="148">
        <v>700098</v>
      </c>
      <c r="N40" s="148">
        <v>590311</v>
      </c>
      <c r="O40" s="148">
        <v>110106</v>
      </c>
      <c r="P40" s="148">
        <v>151497</v>
      </c>
      <c r="Q40" s="148">
        <v>193</v>
      </c>
      <c r="R40" s="148">
        <v>186</v>
      </c>
      <c r="S40" s="148">
        <v>165</v>
      </c>
      <c r="T40" s="148">
        <v>131</v>
      </c>
      <c r="U40" s="148">
        <v>125</v>
      </c>
      <c r="V40" s="148">
        <v>106</v>
      </c>
      <c r="W40" s="148">
        <v>207</v>
      </c>
      <c r="X40" s="148">
        <v>229</v>
      </c>
      <c r="Y40" s="148">
        <v>251</v>
      </c>
      <c r="Z40" s="148">
        <v>394</v>
      </c>
      <c r="AA40" s="148">
        <v>443</v>
      </c>
      <c r="AB40" s="148">
        <v>14535</v>
      </c>
      <c r="AC40" s="148">
        <v>18032</v>
      </c>
      <c r="AD40" s="148">
        <v>23241</v>
      </c>
      <c r="AE40" s="148">
        <v>27828</v>
      </c>
      <c r="AF40" s="148">
        <v>28290</v>
      </c>
      <c r="AG40" s="148">
        <v>125</v>
      </c>
      <c r="AH40" s="148">
        <v>1571</v>
      </c>
      <c r="AI40" s="148">
        <v>1413</v>
      </c>
      <c r="AJ40" s="148">
        <v>484</v>
      </c>
      <c r="AK40" s="148">
        <v>222</v>
      </c>
      <c r="AL40" s="148">
        <v>231</v>
      </c>
      <c r="AM40" s="148">
        <v>213</v>
      </c>
      <c r="AN40" s="148">
        <v>262</v>
      </c>
      <c r="AO40" s="148">
        <v>264</v>
      </c>
      <c r="AP40" s="148">
        <v>235</v>
      </c>
      <c r="AQ40" s="148">
        <v>236</v>
      </c>
      <c r="AR40" s="148">
        <v>0</v>
      </c>
      <c r="AS40" s="148">
        <v>0</v>
      </c>
      <c r="AT40" s="148">
        <v>0</v>
      </c>
      <c r="AU40" s="148">
        <v>0</v>
      </c>
      <c r="AV40" s="148">
        <v>0</v>
      </c>
      <c r="AW40" s="149">
        <v>0</v>
      </c>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row>
    <row r="41" spans="1:107" ht="15">
      <c r="A41" s="145" t="s">
        <v>284</v>
      </c>
      <c r="B41" s="146" t="s">
        <v>104</v>
      </c>
      <c r="C41" s="147">
        <v>0</v>
      </c>
      <c r="D41" s="148">
        <v>0</v>
      </c>
      <c r="E41" s="148">
        <v>0</v>
      </c>
      <c r="F41" s="148">
        <v>0</v>
      </c>
      <c r="G41" s="148">
        <v>0</v>
      </c>
      <c r="H41" s="148">
        <v>0</v>
      </c>
      <c r="I41" s="148">
        <v>0</v>
      </c>
      <c r="J41" s="148">
        <v>0</v>
      </c>
      <c r="K41" s="148">
        <v>0</v>
      </c>
      <c r="L41" s="148">
        <v>0</v>
      </c>
      <c r="M41" s="148">
        <v>0</v>
      </c>
      <c r="N41" s="148">
        <v>0</v>
      </c>
      <c r="O41" s="148">
        <v>0</v>
      </c>
      <c r="P41" s="148">
        <v>0</v>
      </c>
      <c r="Q41" s="148">
        <v>0</v>
      </c>
      <c r="R41" s="148">
        <v>0</v>
      </c>
      <c r="S41" s="148">
        <v>0</v>
      </c>
      <c r="T41" s="148">
        <v>0</v>
      </c>
      <c r="U41" s="148">
        <v>0</v>
      </c>
      <c r="V41" s="148">
        <v>0</v>
      </c>
      <c r="W41" s="148">
        <v>0</v>
      </c>
      <c r="X41" s="148">
        <v>0</v>
      </c>
      <c r="Y41" s="148">
        <v>0</v>
      </c>
      <c r="Z41" s="148">
        <v>0</v>
      </c>
      <c r="AA41" s="148">
        <v>0</v>
      </c>
      <c r="AB41" s="148">
        <v>0</v>
      </c>
      <c r="AC41" s="148">
        <v>0</v>
      </c>
      <c r="AD41" s="148">
        <v>0</v>
      </c>
      <c r="AE41" s="148">
        <v>0</v>
      </c>
      <c r="AF41" s="148">
        <v>0</v>
      </c>
      <c r="AG41" s="148">
        <v>0</v>
      </c>
      <c r="AH41" s="148">
        <v>0</v>
      </c>
      <c r="AI41" s="148">
        <v>0</v>
      </c>
      <c r="AJ41" s="148">
        <v>4794986</v>
      </c>
      <c r="AK41" s="148">
        <v>6393315</v>
      </c>
      <c r="AL41" s="148">
        <v>7090342</v>
      </c>
      <c r="AM41" s="148">
        <v>4898925</v>
      </c>
      <c r="AN41" s="148">
        <v>2939355</v>
      </c>
      <c r="AO41" s="148">
        <v>1865684</v>
      </c>
      <c r="AP41" s="148">
        <v>1819997</v>
      </c>
      <c r="AQ41" s="148">
        <v>1324762</v>
      </c>
      <c r="AR41" s="148">
        <v>1412309</v>
      </c>
      <c r="AS41" s="148">
        <v>9984841</v>
      </c>
      <c r="AT41" s="148">
        <v>8699334</v>
      </c>
      <c r="AU41" s="148">
        <v>9236029</v>
      </c>
      <c r="AV41" s="148">
        <v>8639949</v>
      </c>
      <c r="AW41" s="149">
        <v>6715184</v>
      </c>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row>
    <row r="42" spans="1:107" ht="15">
      <c r="A42" s="145" t="s">
        <v>284</v>
      </c>
      <c r="B42" s="146" t="s">
        <v>81</v>
      </c>
      <c r="C42" s="147">
        <v>8692</v>
      </c>
      <c r="D42" s="148">
        <v>8520</v>
      </c>
      <c r="E42" s="148">
        <v>8117</v>
      </c>
      <c r="F42" s="148">
        <v>7721</v>
      </c>
      <c r="G42" s="148">
        <v>7685</v>
      </c>
      <c r="H42" s="148">
        <v>6983</v>
      </c>
      <c r="I42" s="148">
        <v>6235</v>
      </c>
      <c r="J42" s="148">
        <v>6131</v>
      </c>
      <c r="K42" s="148">
        <v>5189</v>
      </c>
      <c r="L42" s="148">
        <v>6174</v>
      </c>
      <c r="M42" s="148">
        <v>5794</v>
      </c>
      <c r="N42" s="148">
        <v>5664</v>
      </c>
      <c r="O42" s="148">
        <v>5702</v>
      </c>
      <c r="P42" s="148">
        <v>5278</v>
      </c>
      <c r="Q42" s="148">
        <v>4085</v>
      </c>
      <c r="R42" s="148">
        <v>3604</v>
      </c>
      <c r="S42" s="148">
        <v>3369</v>
      </c>
      <c r="T42" s="148">
        <v>3787</v>
      </c>
      <c r="U42" s="148">
        <v>4449</v>
      </c>
      <c r="V42" s="148">
        <v>5457</v>
      </c>
      <c r="W42" s="148">
        <v>7104</v>
      </c>
      <c r="X42" s="148">
        <v>12645</v>
      </c>
      <c r="Y42" s="148">
        <v>11415</v>
      </c>
      <c r="Z42" s="148">
        <v>5950</v>
      </c>
      <c r="AA42" s="148">
        <v>6484</v>
      </c>
      <c r="AB42" s="148">
        <v>6152</v>
      </c>
      <c r="AC42" s="148">
        <v>6407</v>
      </c>
      <c r="AD42" s="148">
        <v>6816</v>
      </c>
      <c r="AE42" s="148">
        <v>4007</v>
      </c>
      <c r="AF42" s="148">
        <v>1512</v>
      </c>
      <c r="AG42" s="148">
        <v>1972</v>
      </c>
      <c r="AH42" s="148">
        <v>1962</v>
      </c>
      <c r="AI42" s="148">
        <v>2488</v>
      </c>
      <c r="AJ42" s="148">
        <v>2186</v>
      </c>
      <c r="AK42" s="148">
        <v>1896</v>
      </c>
      <c r="AL42" s="148">
        <v>1728</v>
      </c>
      <c r="AM42" s="148">
        <v>9505</v>
      </c>
      <c r="AN42" s="148">
        <v>7281</v>
      </c>
      <c r="AO42" s="148">
        <v>8104</v>
      </c>
      <c r="AP42" s="148">
        <v>6794</v>
      </c>
      <c r="AQ42" s="148">
        <v>5764</v>
      </c>
      <c r="AR42" s="148">
        <v>4427</v>
      </c>
      <c r="AS42" s="148">
        <v>3095</v>
      </c>
      <c r="AT42" s="148">
        <v>2567</v>
      </c>
      <c r="AU42" s="148">
        <v>1681</v>
      </c>
      <c r="AV42" s="148">
        <v>4462</v>
      </c>
      <c r="AW42" s="149">
        <v>2541</v>
      </c>
      <c r="CQ42" s="182"/>
    </row>
    <row r="43" spans="1:107" ht="15">
      <c r="A43" s="145" t="s">
        <v>284</v>
      </c>
      <c r="B43" s="146" t="s">
        <v>100</v>
      </c>
      <c r="C43" s="147">
        <v>0</v>
      </c>
      <c r="D43" s="148">
        <v>0</v>
      </c>
      <c r="E43" s="148">
        <v>0</v>
      </c>
      <c r="F43" s="148">
        <v>0</v>
      </c>
      <c r="G43" s="148">
        <v>0</v>
      </c>
      <c r="H43" s="148">
        <v>0</v>
      </c>
      <c r="I43" s="148">
        <v>0</v>
      </c>
      <c r="J43" s="148">
        <v>0</v>
      </c>
      <c r="K43" s="148">
        <v>0</v>
      </c>
      <c r="L43" s="148">
        <v>0</v>
      </c>
      <c r="M43" s="148">
        <v>0</v>
      </c>
      <c r="N43" s="148">
        <v>0</v>
      </c>
      <c r="O43" s="148">
        <v>0</v>
      </c>
      <c r="P43" s="148">
        <v>0</v>
      </c>
      <c r="Q43" s="148">
        <v>0</v>
      </c>
      <c r="R43" s="148">
        <v>0</v>
      </c>
      <c r="S43" s="148">
        <v>0</v>
      </c>
      <c r="T43" s="148">
        <v>0</v>
      </c>
      <c r="U43" s="148">
        <v>0</v>
      </c>
      <c r="V43" s="148">
        <v>0</v>
      </c>
      <c r="W43" s="148">
        <v>0</v>
      </c>
      <c r="X43" s="148">
        <v>0</v>
      </c>
      <c r="Y43" s="148">
        <v>0</v>
      </c>
      <c r="Z43" s="148">
        <v>0</v>
      </c>
      <c r="AA43" s="148">
        <v>0</v>
      </c>
      <c r="AB43" s="148">
        <v>0</v>
      </c>
      <c r="AC43" s="148">
        <v>0</v>
      </c>
      <c r="AD43" s="148">
        <v>0</v>
      </c>
      <c r="AE43" s="148">
        <v>0</v>
      </c>
      <c r="AF43" s="148">
        <v>0</v>
      </c>
      <c r="AG43" s="148">
        <v>0</v>
      </c>
      <c r="AH43" s="148">
        <v>0</v>
      </c>
      <c r="AI43" s="148">
        <v>0</v>
      </c>
      <c r="AJ43" s="148">
        <v>0</v>
      </c>
      <c r="AK43" s="148">
        <v>0</v>
      </c>
      <c r="AL43" s="148">
        <v>0</v>
      </c>
      <c r="AM43" s="148">
        <v>0</v>
      </c>
      <c r="AN43" s="148">
        <v>0</v>
      </c>
      <c r="AO43" s="148">
        <v>0</v>
      </c>
      <c r="AP43" s="148">
        <v>0</v>
      </c>
      <c r="AQ43" s="148">
        <v>0</v>
      </c>
      <c r="AR43" s="148">
        <v>0</v>
      </c>
      <c r="AS43" s="148">
        <v>0</v>
      </c>
      <c r="AT43" s="148">
        <v>0</v>
      </c>
      <c r="AU43" s="148">
        <v>0</v>
      </c>
      <c r="AV43" s="148">
        <v>0</v>
      </c>
      <c r="AW43" s="149">
        <v>0</v>
      </c>
      <c r="AZ43" s="163"/>
    </row>
    <row r="44" spans="1:107" ht="15">
      <c r="A44" s="145" t="s">
        <v>284</v>
      </c>
      <c r="B44" s="146" t="s">
        <v>51</v>
      </c>
      <c r="C44" s="147">
        <v>42532</v>
      </c>
      <c r="D44" s="148">
        <v>50942</v>
      </c>
      <c r="E44" s="148">
        <v>50979</v>
      </c>
      <c r="F44" s="148">
        <v>56763</v>
      </c>
      <c r="G44" s="148">
        <v>42332</v>
      </c>
      <c r="H44" s="148">
        <v>52433</v>
      </c>
      <c r="I44" s="148">
        <v>59057</v>
      </c>
      <c r="J44" s="148">
        <v>75638</v>
      </c>
      <c r="K44" s="148">
        <v>48358</v>
      </c>
      <c r="L44" s="148">
        <v>97669</v>
      </c>
      <c r="M44" s="148">
        <v>95038</v>
      </c>
      <c r="N44" s="148">
        <v>145126</v>
      </c>
      <c r="O44" s="148">
        <v>143899</v>
      </c>
      <c r="P44" s="148">
        <v>294314</v>
      </c>
      <c r="Q44" s="148">
        <v>8707</v>
      </c>
      <c r="R44" s="148">
        <v>8629</v>
      </c>
      <c r="S44" s="148">
        <v>49682</v>
      </c>
      <c r="T44" s="148">
        <v>49726</v>
      </c>
      <c r="U44" s="148">
        <v>78869</v>
      </c>
      <c r="V44" s="148">
        <v>107344</v>
      </c>
      <c r="W44" s="148">
        <v>135946</v>
      </c>
      <c r="X44" s="148">
        <v>164726</v>
      </c>
      <c r="Y44" s="148">
        <v>193539</v>
      </c>
      <c r="Z44" s="148">
        <v>162433</v>
      </c>
      <c r="AA44" s="148">
        <v>130702</v>
      </c>
      <c r="AB44" s="148">
        <v>131921</v>
      </c>
      <c r="AC44" s="148">
        <v>133351</v>
      </c>
      <c r="AD44" s="148">
        <v>138147</v>
      </c>
      <c r="AE44" s="148">
        <v>228841</v>
      </c>
      <c r="AF44" s="148">
        <v>40129</v>
      </c>
      <c r="AG44" s="148">
        <v>56980</v>
      </c>
      <c r="AH44" s="148">
        <v>94298</v>
      </c>
      <c r="AI44" s="148">
        <v>69327</v>
      </c>
      <c r="AJ44" s="148">
        <v>54876</v>
      </c>
      <c r="AK44" s="148">
        <v>55597</v>
      </c>
      <c r="AL44" s="148">
        <v>66831</v>
      </c>
      <c r="AM44" s="148">
        <v>62158</v>
      </c>
      <c r="AN44" s="148">
        <v>38851</v>
      </c>
      <c r="AO44" s="148">
        <v>40505</v>
      </c>
      <c r="AP44" s="148">
        <v>49686</v>
      </c>
      <c r="AQ44" s="148">
        <v>23454</v>
      </c>
      <c r="AR44" s="148">
        <v>7735</v>
      </c>
      <c r="AS44" s="148">
        <v>8405</v>
      </c>
      <c r="AT44" s="148">
        <v>8263</v>
      </c>
      <c r="AU44" s="148">
        <v>9185</v>
      </c>
      <c r="AV44" s="148">
        <v>16963</v>
      </c>
      <c r="AW44" s="149">
        <v>27400</v>
      </c>
    </row>
    <row r="45" spans="1:107" ht="15">
      <c r="A45" s="145" t="s">
        <v>284</v>
      </c>
      <c r="B45" s="146" t="s">
        <v>263</v>
      </c>
      <c r="C45" s="147">
        <v>4004916</v>
      </c>
      <c r="D45" s="148">
        <v>3914953</v>
      </c>
      <c r="E45" s="148">
        <v>4604917</v>
      </c>
      <c r="F45" s="148">
        <v>6027736</v>
      </c>
      <c r="G45" s="148">
        <v>7365591</v>
      </c>
      <c r="H45" s="148">
        <v>7126412</v>
      </c>
      <c r="I45" s="148">
        <v>7574411</v>
      </c>
      <c r="J45" s="148">
        <v>6212350</v>
      </c>
      <c r="K45" s="148">
        <v>6115033</v>
      </c>
      <c r="L45" s="148">
        <v>4692276</v>
      </c>
      <c r="M45" s="148">
        <v>4036616</v>
      </c>
      <c r="N45" s="148">
        <v>3492850</v>
      </c>
      <c r="O45" s="148">
        <v>3257820</v>
      </c>
      <c r="P45" s="148">
        <v>4228848</v>
      </c>
      <c r="Q45" s="148">
        <v>3301237</v>
      </c>
      <c r="R45" s="148">
        <v>3591874</v>
      </c>
      <c r="S45" s="148">
        <v>2527344</v>
      </c>
      <c r="T45" s="148">
        <v>2501548</v>
      </c>
      <c r="U45" s="148">
        <v>2487365</v>
      </c>
      <c r="V45" s="148">
        <v>3995737</v>
      </c>
      <c r="W45" s="148">
        <v>2740332</v>
      </c>
      <c r="X45" s="148">
        <v>2179863</v>
      </c>
      <c r="Y45" s="148">
        <v>3488338</v>
      </c>
      <c r="Z45" s="148">
        <v>1653370</v>
      </c>
      <c r="AA45" s="148">
        <v>1309202</v>
      </c>
      <c r="AB45" s="148">
        <v>2038140</v>
      </c>
      <c r="AC45" s="148">
        <v>3568653</v>
      </c>
      <c r="AD45" s="148">
        <v>3490237</v>
      </c>
      <c r="AE45" s="148">
        <v>3272077</v>
      </c>
      <c r="AF45" s="148">
        <v>2178206</v>
      </c>
      <c r="AG45" s="148">
        <v>2234254</v>
      </c>
      <c r="AH45" s="148">
        <v>1633660</v>
      </c>
      <c r="AI45" s="148">
        <v>1122333</v>
      </c>
      <c r="AJ45" s="148">
        <v>1797624</v>
      </c>
      <c r="AK45" s="148">
        <v>1267752</v>
      </c>
      <c r="AL45" s="148">
        <v>1280150</v>
      </c>
      <c r="AM45" s="148">
        <v>1640756</v>
      </c>
      <c r="AN45" s="148">
        <v>817024</v>
      </c>
      <c r="AO45" s="148">
        <v>1051697</v>
      </c>
      <c r="AP45" s="148">
        <v>679587</v>
      </c>
      <c r="AQ45" s="148">
        <v>619384</v>
      </c>
      <c r="AR45" s="148">
        <v>821943</v>
      </c>
      <c r="AS45" s="148">
        <v>3018384</v>
      </c>
      <c r="AT45" s="148">
        <v>77113</v>
      </c>
      <c r="AU45" s="148">
        <v>455361</v>
      </c>
      <c r="AV45" s="148">
        <v>499909</v>
      </c>
      <c r="AW45" s="149">
        <v>581891</v>
      </c>
      <c r="CQ45" s="164"/>
    </row>
    <row r="46" spans="1:107" ht="15">
      <c r="A46" s="145" t="s">
        <v>284</v>
      </c>
      <c r="B46" s="146" t="s">
        <v>264</v>
      </c>
      <c r="C46" s="147">
        <v>0</v>
      </c>
      <c r="D46" s="148">
        <v>0</v>
      </c>
      <c r="E46" s="148">
        <v>0</v>
      </c>
      <c r="F46" s="148">
        <v>0</v>
      </c>
      <c r="G46" s="148">
        <v>0</v>
      </c>
      <c r="H46" s="148">
        <v>0</v>
      </c>
      <c r="I46" s="148">
        <v>0</v>
      </c>
      <c r="J46" s="148">
        <v>0</v>
      </c>
      <c r="K46" s="148">
        <v>0</v>
      </c>
      <c r="L46" s="148">
        <v>0</v>
      </c>
      <c r="M46" s="148">
        <v>0</v>
      </c>
      <c r="N46" s="148">
        <v>0</v>
      </c>
      <c r="O46" s="148">
        <v>0</v>
      </c>
      <c r="P46" s="148">
        <v>0</v>
      </c>
      <c r="Q46" s="148">
        <v>0</v>
      </c>
      <c r="R46" s="148">
        <v>0</v>
      </c>
      <c r="S46" s="148">
        <v>0</v>
      </c>
      <c r="T46" s="148">
        <v>0</v>
      </c>
      <c r="U46" s="148">
        <v>0</v>
      </c>
      <c r="V46" s="148">
        <v>0</v>
      </c>
      <c r="W46" s="148">
        <v>0</v>
      </c>
      <c r="X46" s="148">
        <v>0</v>
      </c>
      <c r="Y46" s="148">
        <v>0</v>
      </c>
      <c r="Z46" s="148">
        <v>0</v>
      </c>
      <c r="AA46" s="148">
        <v>0</v>
      </c>
      <c r="AB46" s="148">
        <v>0</v>
      </c>
      <c r="AC46" s="148">
        <v>0</v>
      </c>
      <c r="AD46" s="148">
        <v>0</v>
      </c>
      <c r="AE46" s="148">
        <v>0</v>
      </c>
      <c r="AF46" s="148">
        <v>0</v>
      </c>
      <c r="AG46" s="148">
        <v>0</v>
      </c>
      <c r="AH46" s="148">
        <v>0</v>
      </c>
      <c r="AI46" s="148">
        <v>0</v>
      </c>
      <c r="AJ46" s="148">
        <v>0</v>
      </c>
      <c r="AK46" s="148">
        <v>0</v>
      </c>
      <c r="AL46" s="148">
        <v>0</v>
      </c>
      <c r="AM46" s="148">
        <v>0</v>
      </c>
      <c r="AN46" s="148">
        <v>0</v>
      </c>
      <c r="AO46" s="148">
        <v>0</v>
      </c>
      <c r="AP46" s="148">
        <v>0</v>
      </c>
      <c r="AQ46" s="148">
        <v>0</v>
      </c>
      <c r="AR46" s="148">
        <v>0</v>
      </c>
      <c r="AS46" s="148">
        <v>0</v>
      </c>
      <c r="AT46" s="148">
        <v>0</v>
      </c>
      <c r="AU46" s="148">
        <v>0</v>
      </c>
      <c r="AV46" s="148">
        <v>0</v>
      </c>
      <c r="AW46" s="149">
        <v>0</v>
      </c>
    </row>
    <row r="47" spans="1:107" ht="15">
      <c r="A47" s="145" t="s">
        <v>284</v>
      </c>
      <c r="B47" s="146" t="s">
        <v>265</v>
      </c>
      <c r="C47" s="147">
        <v>0</v>
      </c>
      <c r="D47" s="148">
        <v>0</v>
      </c>
      <c r="E47" s="148">
        <v>0</v>
      </c>
      <c r="F47" s="148">
        <v>0</v>
      </c>
      <c r="G47" s="148">
        <v>0</v>
      </c>
      <c r="H47" s="148">
        <v>0</v>
      </c>
      <c r="I47" s="148">
        <v>0</v>
      </c>
      <c r="J47" s="148">
        <v>0</v>
      </c>
      <c r="K47" s="148">
        <v>0</v>
      </c>
      <c r="L47" s="148">
        <v>0</v>
      </c>
      <c r="M47" s="148">
        <v>0</v>
      </c>
      <c r="N47" s="148">
        <v>0</v>
      </c>
      <c r="O47" s="148">
        <v>0</v>
      </c>
      <c r="P47" s="148">
        <v>0</v>
      </c>
      <c r="Q47" s="148">
        <v>0</v>
      </c>
      <c r="R47" s="148">
        <v>0</v>
      </c>
      <c r="S47" s="148">
        <v>0</v>
      </c>
      <c r="T47" s="148">
        <v>0</v>
      </c>
      <c r="U47" s="148">
        <v>0</v>
      </c>
      <c r="V47" s="148">
        <v>0</v>
      </c>
      <c r="W47" s="148">
        <v>0</v>
      </c>
      <c r="X47" s="148">
        <v>0</v>
      </c>
      <c r="Y47" s="148">
        <v>0</v>
      </c>
      <c r="Z47" s="148">
        <v>0</v>
      </c>
      <c r="AA47" s="148">
        <v>0</v>
      </c>
      <c r="AB47" s="148">
        <v>0</v>
      </c>
      <c r="AC47" s="148">
        <v>0</v>
      </c>
      <c r="AD47" s="148">
        <v>0</v>
      </c>
      <c r="AE47" s="148">
        <v>0</v>
      </c>
      <c r="AF47" s="148">
        <v>0</v>
      </c>
      <c r="AG47" s="148">
        <v>0</v>
      </c>
      <c r="AH47" s="148">
        <v>0</v>
      </c>
      <c r="AI47" s="148">
        <v>0</v>
      </c>
      <c r="AJ47" s="148">
        <v>0</v>
      </c>
      <c r="AK47" s="148">
        <v>0</v>
      </c>
      <c r="AL47" s="148">
        <v>0</v>
      </c>
      <c r="AM47" s="148">
        <v>0</v>
      </c>
      <c r="AN47" s="148">
        <v>0</v>
      </c>
      <c r="AO47" s="148">
        <v>0</v>
      </c>
      <c r="AP47" s="148">
        <v>0</v>
      </c>
      <c r="AQ47" s="148">
        <v>3</v>
      </c>
      <c r="AR47" s="148">
        <v>7</v>
      </c>
      <c r="AS47" s="148">
        <v>6</v>
      </c>
      <c r="AT47" s="148">
        <v>24</v>
      </c>
      <c r="AU47" s="148">
        <v>24</v>
      </c>
      <c r="AV47" s="148">
        <v>521</v>
      </c>
      <c r="AW47" s="149">
        <v>966</v>
      </c>
      <c r="AZ47" s="183">
        <v>2008</v>
      </c>
      <c r="BA47" s="183">
        <v>2009</v>
      </c>
      <c r="BB47" s="183">
        <v>2010</v>
      </c>
      <c r="BC47" s="183">
        <v>2011</v>
      </c>
      <c r="BD47" s="183">
        <v>2012</v>
      </c>
    </row>
    <row r="48" spans="1:107" ht="15">
      <c r="A48" s="145" t="s">
        <v>284</v>
      </c>
      <c r="B48" s="146" t="s">
        <v>74</v>
      </c>
      <c r="C48" s="147">
        <v>0</v>
      </c>
      <c r="D48" s="148">
        <v>0</v>
      </c>
      <c r="E48" s="148">
        <v>0</v>
      </c>
      <c r="F48" s="148">
        <v>0</v>
      </c>
      <c r="G48" s="148">
        <v>0</v>
      </c>
      <c r="H48" s="148">
        <v>0</v>
      </c>
      <c r="I48" s="148">
        <v>0</v>
      </c>
      <c r="J48" s="148">
        <v>0</v>
      </c>
      <c r="K48" s="148">
        <v>0</v>
      </c>
      <c r="L48" s="148">
        <v>0</v>
      </c>
      <c r="M48" s="148">
        <v>0</v>
      </c>
      <c r="N48" s="148">
        <v>0</v>
      </c>
      <c r="O48" s="148">
        <v>0</v>
      </c>
      <c r="P48" s="148">
        <v>0</v>
      </c>
      <c r="Q48" s="148">
        <v>0</v>
      </c>
      <c r="R48" s="148">
        <v>0</v>
      </c>
      <c r="S48" s="148">
        <v>0</v>
      </c>
      <c r="T48" s="148">
        <v>0</v>
      </c>
      <c r="U48" s="148">
        <v>0</v>
      </c>
      <c r="V48" s="148">
        <v>0</v>
      </c>
      <c r="W48" s="148">
        <v>0</v>
      </c>
      <c r="X48" s="148">
        <v>0</v>
      </c>
      <c r="Y48" s="148">
        <v>0</v>
      </c>
      <c r="Z48" s="148">
        <v>0</v>
      </c>
      <c r="AA48" s="148">
        <v>0</v>
      </c>
      <c r="AB48" s="148">
        <v>0</v>
      </c>
      <c r="AC48" s="148">
        <v>0</v>
      </c>
      <c r="AD48" s="148">
        <v>0</v>
      </c>
      <c r="AE48" s="148">
        <v>2824</v>
      </c>
      <c r="AF48" s="148">
        <v>2848</v>
      </c>
      <c r="AG48" s="148">
        <v>1199</v>
      </c>
      <c r="AH48" s="148">
        <v>8721</v>
      </c>
      <c r="AI48" s="148">
        <v>7725</v>
      </c>
      <c r="AJ48" s="148">
        <v>4955</v>
      </c>
      <c r="AK48" s="148">
        <v>5460</v>
      </c>
      <c r="AL48" s="148">
        <v>9186</v>
      </c>
      <c r="AM48" s="148">
        <v>8423</v>
      </c>
      <c r="AN48" s="148">
        <v>47522</v>
      </c>
      <c r="AO48" s="148">
        <v>45835</v>
      </c>
      <c r="AP48" s="148">
        <v>23236</v>
      </c>
      <c r="AQ48" s="148">
        <v>23237</v>
      </c>
      <c r="AR48" s="148">
        <v>0</v>
      </c>
      <c r="AS48" s="148">
        <v>0</v>
      </c>
      <c r="AT48" s="148">
        <v>0</v>
      </c>
      <c r="AU48" s="148">
        <v>0</v>
      </c>
      <c r="AV48" s="148">
        <v>0</v>
      </c>
      <c r="AW48" s="149">
        <v>0</v>
      </c>
      <c r="AY48" s="184" t="s">
        <v>164</v>
      </c>
      <c r="AZ48" s="183" t="s">
        <v>158</v>
      </c>
      <c r="BA48" s="183" t="s">
        <v>158</v>
      </c>
      <c r="BB48" s="183" t="s">
        <v>158</v>
      </c>
      <c r="BC48" s="183" t="s">
        <v>158</v>
      </c>
      <c r="BD48" s="183" t="s">
        <v>158</v>
      </c>
    </row>
    <row r="49" spans="1:58" ht="15">
      <c r="A49" s="145" t="s">
        <v>284</v>
      </c>
      <c r="B49" s="146" t="s">
        <v>266</v>
      </c>
      <c r="C49" s="147">
        <v>397650</v>
      </c>
      <c r="D49" s="148">
        <v>432699</v>
      </c>
      <c r="E49" s="148">
        <v>476143</v>
      </c>
      <c r="F49" s="148">
        <v>530132</v>
      </c>
      <c r="G49" s="148">
        <v>593411</v>
      </c>
      <c r="H49" s="148">
        <v>643437</v>
      </c>
      <c r="I49" s="148">
        <v>685084</v>
      </c>
      <c r="J49" s="148">
        <v>736411</v>
      </c>
      <c r="K49" s="148">
        <v>731086</v>
      </c>
      <c r="L49" s="148">
        <v>686570</v>
      </c>
      <c r="M49" s="148">
        <v>613406</v>
      </c>
      <c r="N49" s="148">
        <v>594418</v>
      </c>
      <c r="O49" s="148">
        <v>639873</v>
      </c>
      <c r="P49" s="148">
        <v>625981</v>
      </c>
      <c r="Q49" s="148">
        <v>647706</v>
      </c>
      <c r="R49" s="148">
        <v>763354</v>
      </c>
      <c r="S49" s="148">
        <v>759288</v>
      </c>
      <c r="T49" s="148">
        <v>783722</v>
      </c>
      <c r="U49" s="148">
        <v>785727</v>
      </c>
      <c r="V49" s="148">
        <v>767902</v>
      </c>
      <c r="W49" s="148">
        <v>911578</v>
      </c>
      <c r="X49" s="148">
        <v>909734</v>
      </c>
      <c r="Y49" s="148">
        <v>857186</v>
      </c>
      <c r="Z49" s="148">
        <v>844713</v>
      </c>
      <c r="AA49" s="148">
        <v>891592</v>
      </c>
      <c r="AB49" s="148">
        <v>1096782</v>
      </c>
      <c r="AC49" s="148">
        <v>1163069</v>
      </c>
      <c r="AD49" s="148">
        <v>1103643</v>
      </c>
      <c r="AE49" s="148">
        <v>1200480</v>
      </c>
      <c r="AF49" s="148">
        <v>1178367</v>
      </c>
      <c r="AG49" s="148">
        <v>1231778</v>
      </c>
      <c r="AH49" s="148">
        <v>1027529</v>
      </c>
      <c r="AI49" s="148">
        <v>905799</v>
      </c>
      <c r="AJ49" s="148">
        <v>977882</v>
      </c>
      <c r="AK49" s="148">
        <v>756137</v>
      </c>
      <c r="AL49" s="148">
        <v>555652</v>
      </c>
      <c r="AM49" s="148">
        <v>565485</v>
      </c>
      <c r="AN49" s="148">
        <v>904276</v>
      </c>
      <c r="AO49" s="148">
        <v>922446</v>
      </c>
      <c r="AP49" s="148">
        <v>644273</v>
      </c>
      <c r="AQ49" s="148">
        <v>781406</v>
      </c>
      <c r="AR49" s="148">
        <v>1101084</v>
      </c>
      <c r="AS49" s="148">
        <v>1285842</v>
      </c>
      <c r="AT49" s="148">
        <v>1153932</v>
      </c>
      <c r="AU49" s="148">
        <v>1169936</v>
      </c>
      <c r="AV49" s="148">
        <v>1056349</v>
      </c>
      <c r="AW49" s="149">
        <v>1074112</v>
      </c>
      <c r="AY49" s="123" t="s">
        <v>159</v>
      </c>
      <c r="AZ49" s="123">
        <v>4223</v>
      </c>
      <c r="BA49" s="123">
        <v>3754</v>
      </c>
      <c r="BB49" s="123">
        <v>3768</v>
      </c>
      <c r="BC49" s="123">
        <v>3365</v>
      </c>
      <c r="BD49" s="123">
        <v>3897</v>
      </c>
    </row>
    <row r="50" spans="1:58" ht="15.75" thickBot="1">
      <c r="A50" s="165" t="s">
        <v>284</v>
      </c>
      <c r="B50" s="166" t="s">
        <v>267</v>
      </c>
      <c r="C50" s="167">
        <v>2278</v>
      </c>
      <c r="D50" s="168">
        <v>2479</v>
      </c>
      <c r="E50" s="168">
        <v>3063</v>
      </c>
      <c r="F50" s="168">
        <v>4198</v>
      </c>
      <c r="G50" s="168">
        <v>4495</v>
      </c>
      <c r="H50" s="168">
        <v>4899</v>
      </c>
      <c r="I50" s="168">
        <v>5362</v>
      </c>
      <c r="J50" s="168">
        <v>5639</v>
      </c>
      <c r="K50" s="168">
        <v>5838</v>
      </c>
      <c r="L50" s="168">
        <v>5961</v>
      </c>
      <c r="M50" s="168">
        <v>5173</v>
      </c>
      <c r="N50" s="168">
        <v>5701</v>
      </c>
      <c r="O50" s="168">
        <v>5536</v>
      </c>
      <c r="P50" s="168">
        <v>5388</v>
      </c>
      <c r="Q50" s="168">
        <v>0</v>
      </c>
      <c r="R50" s="168">
        <v>0</v>
      </c>
      <c r="S50" s="168">
        <v>294559</v>
      </c>
      <c r="T50" s="168">
        <v>446939</v>
      </c>
      <c r="U50" s="168">
        <v>459885</v>
      </c>
      <c r="V50" s="168">
        <v>439145</v>
      </c>
      <c r="W50" s="168">
        <v>335697</v>
      </c>
      <c r="X50" s="168">
        <v>362024</v>
      </c>
      <c r="Y50" s="168">
        <v>405850</v>
      </c>
      <c r="Z50" s="168">
        <v>416804</v>
      </c>
      <c r="AA50" s="168">
        <v>427758</v>
      </c>
      <c r="AB50" s="168">
        <v>387197</v>
      </c>
      <c r="AC50" s="168">
        <v>346636</v>
      </c>
      <c r="AD50" s="168">
        <v>306075</v>
      </c>
      <c r="AE50" s="168">
        <v>351620</v>
      </c>
      <c r="AF50" s="168">
        <v>380457</v>
      </c>
      <c r="AG50" s="168">
        <v>318666</v>
      </c>
      <c r="AH50" s="168">
        <v>256816</v>
      </c>
      <c r="AI50" s="168">
        <v>222847</v>
      </c>
      <c r="AJ50" s="168">
        <v>299190</v>
      </c>
      <c r="AK50" s="168">
        <v>275371</v>
      </c>
      <c r="AL50" s="168">
        <v>252295</v>
      </c>
      <c r="AM50" s="168">
        <v>252295</v>
      </c>
      <c r="AN50" s="168">
        <v>260862</v>
      </c>
      <c r="AO50" s="168">
        <v>247819</v>
      </c>
      <c r="AP50" s="168">
        <v>354806</v>
      </c>
      <c r="AQ50" s="168">
        <v>367693</v>
      </c>
      <c r="AR50" s="168">
        <v>404977</v>
      </c>
      <c r="AS50" s="168">
        <v>585757</v>
      </c>
      <c r="AT50" s="168">
        <v>585699</v>
      </c>
      <c r="AU50" s="168">
        <v>583942</v>
      </c>
      <c r="AV50" s="168">
        <v>558832</v>
      </c>
      <c r="AW50" s="169">
        <v>558832</v>
      </c>
      <c r="AY50" s="123" t="s">
        <v>160</v>
      </c>
      <c r="BA50" s="123">
        <v>2985</v>
      </c>
      <c r="BB50" s="123">
        <v>2741</v>
      </c>
      <c r="BC50" s="123">
        <v>2656</v>
      </c>
    </row>
    <row r="51" spans="1:58" ht="13.5" thickTop="1">
      <c r="BF51" s="123" t="s">
        <v>143</v>
      </c>
    </row>
    <row r="52" spans="1:58">
      <c r="BA52" s="137">
        <f>BA49/(BA49+BA50)</f>
        <v>0.55705594301825201</v>
      </c>
      <c r="BB52" s="137">
        <f>BB49/(BB49+BB50)</f>
        <v>0.57889076663081884</v>
      </c>
      <c r="BC52" s="137">
        <f>BC49/(BC49+BC50)</f>
        <v>0.55887726291313733</v>
      </c>
      <c r="BF52" s="172">
        <f>AVERAGE(BA52:BC52)</f>
        <v>0.56494132418740273</v>
      </c>
    </row>
    <row r="54" spans="1:58" ht="15.75" thickBot="1">
      <c r="A54" s="127" t="s">
        <v>291</v>
      </c>
    </row>
    <row r="55" spans="1:58" ht="31.5" thickTop="1" thickBot="1">
      <c r="A55" s="140" t="s">
        <v>140</v>
      </c>
      <c r="B55" s="141" t="s">
        <v>141</v>
      </c>
      <c r="C55" s="142">
        <v>1966</v>
      </c>
      <c r="D55" s="143">
        <v>1967</v>
      </c>
      <c r="E55" s="143">
        <v>1968</v>
      </c>
      <c r="F55" s="143">
        <v>1969</v>
      </c>
      <c r="G55" s="143">
        <v>1970</v>
      </c>
      <c r="H55" s="143">
        <v>1971</v>
      </c>
      <c r="I55" s="143">
        <v>1972</v>
      </c>
      <c r="J55" s="143">
        <v>1973</v>
      </c>
      <c r="K55" s="143">
        <v>1974</v>
      </c>
      <c r="L55" s="143">
        <v>1975</v>
      </c>
      <c r="M55" s="143">
        <v>1976</v>
      </c>
      <c r="N55" s="143">
        <v>1977</v>
      </c>
      <c r="O55" s="143">
        <v>1978</v>
      </c>
      <c r="P55" s="143">
        <v>1979</v>
      </c>
      <c r="Q55" s="143">
        <v>1980</v>
      </c>
      <c r="R55" s="143">
        <v>1981</v>
      </c>
      <c r="S55" s="143">
        <v>1982</v>
      </c>
      <c r="T55" s="143">
        <v>1983</v>
      </c>
      <c r="U55" s="143">
        <v>1984</v>
      </c>
      <c r="V55" s="143">
        <v>1985</v>
      </c>
      <c r="W55" s="143">
        <v>1986</v>
      </c>
      <c r="X55" s="143">
        <v>1987</v>
      </c>
      <c r="Y55" s="143">
        <v>1988</v>
      </c>
      <c r="Z55" s="143">
        <v>1989</v>
      </c>
      <c r="AA55" s="143">
        <v>1990</v>
      </c>
      <c r="AB55" s="143">
        <v>1991</v>
      </c>
      <c r="AC55" s="143">
        <v>1992</v>
      </c>
      <c r="AD55" s="143">
        <v>1993</v>
      </c>
      <c r="AE55" s="143">
        <v>1994</v>
      </c>
      <c r="AF55" s="143">
        <v>1995</v>
      </c>
      <c r="AG55" s="143">
        <v>1996</v>
      </c>
      <c r="AH55" s="143">
        <v>1997</v>
      </c>
      <c r="AI55" s="143">
        <v>1998</v>
      </c>
      <c r="AJ55" s="143">
        <v>1999</v>
      </c>
      <c r="AK55" s="143">
        <v>2000</v>
      </c>
      <c r="AL55" s="143">
        <v>2001</v>
      </c>
      <c r="AM55" s="143">
        <v>2002</v>
      </c>
      <c r="AN55" s="143">
        <v>2003</v>
      </c>
      <c r="AO55" s="143">
        <v>2004</v>
      </c>
      <c r="AP55" s="143">
        <v>2005</v>
      </c>
      <c r="AQ55" s="143">
        <v>2006</v>
      </c>
      <c r="AR55" s="143">
        <v>2007</v>
      </c>
      <c r="AS55" s="143">
        <v>2008</v>
      </c>
      <c r="AT55" s="143">
        <v>2009</v>
      </c>
      <c r="AU55" s="143">
        <v>2010</v>
      </c>
      <c r="AV55" s="143">
        <v>2011</v>
      </c>
      <c r="AW55" s="144">
        <v>2012</v>
      </c>
    </row>
    <row r="56" spans="1:58" ht="15">
      <c r="A56" s="145" t="s">
        <v>284</v>
      </c>
      <c r="B56" s="146" t="s">
        <v>260</v>
      </c>
      <c r="C56" s="147">
        <f t="shared" ref="C56:AW61" si="18">C20-C37</f>
        <v>-185997985</v>
      </c>
      <c r="D56" s="147">
        <f t="shared" si="18"/>
        <v>-273247012</v>
      </c>
      <c r="E56" s="147">
        <f t="shared" si="18"/>
        <v>-282278379</v>
      </c>
      <c r="F56" s="147">
        <f t="shared" si="18"/>
        <v>-382445493</v>
      </c>
      <c r="G56" s="147">
        <f t="shared" si="18"/>
        <v>-417950029</v>
      </c>
      <c r="H56" s="147">
        <f t="shared" si="18"/>
        <v>-426965749</v>
      </c>
      <c r="I56" s="147">
        <f t="shared" si="18"/>
        <v>-405622181</v>
      </c>
      <c r="J56" s="147">
        <f t="shared" si="18"/>
        <v>-419941430</v>
      </c>
      <c r="K56" s="147">
        <f t="shared" si="18"/>
        <v>-395445381</v>
      </c>
      <c r="L56" s="147">
        <f t="shared" si="18"/>
        <v>-334381256</v>
      </c>
      <c r="M56" s="147">
        <f t="shared" si="18"/>
        <v>-326893057</v>
      </c>
      <c r="N56" s="147">
        <f t="shared" si="18"/>
        <v>-323173307</v>
      </c>
      <c r="O56" s="147">
        <f t="shared" si="18"/>
        <v>-334801625</v>
      </c>
      <c r="P56" s="147">
        <f t="shared" si="18"/>
        <v>-356687766</v>
      </c>
      <c r="Q56" s="147">
        <f t="shared" si="18"/>
        <v>-271367717</v>
      </c>
      <c r="R56" s="147">
        <f t="shared" si="18"/>
        <v>-244655971</v>
      </c>
      <c r="S56" s="147">
        <f t="shared" si="18"/>
        <v>-219934312</v>
      </c>
      <c r="T56" s="147">
        <f t="shared" si="18"/>
        <v>-266041514</v>
      </c>
      <c r="U56" s="147">
        <f t="shared" si="18"/>
        <v>-287567570</v>
      </c>
      <c r="V56" s="147">
        <f t="shared" si="18"/>
        <v>-279743964</v>
      </c>
      <c r="W56" s="147">
        <f t="shared" si="18"/>
        <v>-304432563</v>
      </c>
      <c r="X56" s="147">
        <f t="shared" si="18"/>
        <v>-296960845</v>
      </c>
      <c r="Y56" s="147">
        <f t="shared" si="18"/>
        <v>-310890390</v>
      </c>
      <c r="Z56" s="147">
        <f t="shared" si="18"/>
        <v>-323131975</v>
      </c>
      <c r="AA56" s="147">
        <f t="shared" si="18"/>
        <v>-308682005</v>
      </c>
      <c r="AB56" s="147">
        <f t="shared" si="18"/>
        <v>-331394770</v>
      </c>
      <c r="AC56" s="147">
        <f t="shared" si="18"/>
        <v>-355454908</v>
      </c>
      <c r="AD56" s="147">
        <f t="shared" si="18"/>
        <v>-356795000</v>
      </c>
      <c r="AE56" s="147">
        <f t="shared" si="18"/>
        <v>-365356400</v>
      </c>
      <c r="AF56" s="147">
        <f t="shared" si="18"/>
        <v>-412022100</v>
      </c>
      <c r="AG56" s="147">
        <f t="shared" si="18"/>
        <v>-448338000</v>
      </c>
      <c r="AH56" s="147">
        <f t="shared" si="18"/>
        <v>-365090511</v>
      </c>
      <c r="AI56" s="147">
        <f t="shared" si="18"/>
        <v>-340314599</v>
      </c>
      <c r="AJ56" s="147">
        <f t="shared" si="18"/>
        <v>-339203135</v>
      </c>
      <c r="AK56" s="147">
        <f t="shared" si="18"/>
        <v>-346270013</v>
      </c>
      <c r="AL56" s="147">
        <f t="shared" si="18"/>
        <v>-343914817</v>
      </c>
      <c r="AM56" s="147">
        <f t="shared" si="18"/>
        <v>-333095071</v>
      </c>
      <c r="AN56" s="147">
        <f t="shared" si="18"/>
        <v>-352220912</v>
      </c>
      <c r="AO56" s="147">
        <f t="shared" si="18"/>
        <v>-344651751</v>
      </c>
      <c r="AP56" s="147">
        <f t="shared" si="18"/>
        <v>-332180848</v>
      </c>
      <c r="AQ56" s="147">
        <f t="shared" si="18"/>
        <v>-343530612</v>
      </c>
      <c r="AR56" s="147">
        <f t="shared" si="18"/>
        <v>-333386568</v>
      </c>
      <c r="AS56" s="147">
        <f t="shared" si="18"/>
        <v>-334639330</v>
      </c>
      <c r="AT56" s="147">
        <f t="shared" si="18"/>
        <v>-335634780</v>
      </c>
      <c r="AU56" s="147">
        <f t="shared" si="18"/>
        <v>-314168191</v>
      </c>
      <c r="AV56" s="147">
        <f t="shared" si="18"/>
        <v>-327286287</v>
      </c>
      <c r="AW56" s="147">
        <f t="shared" si="18"/>
        <v>-362386542</v>
      </c>
    </row>
    <row r="57" spans="1:58" ht="15">
      <c r="A57" s="145" t="s">
        <v>284</v>
      </c>
      <c r="B57" s="146" t="s">
        <v>261</v>
      </c>
      <c r="C57" s="147">
        <f t="shared" si="18"/>
        <v>0</v>
      </c>
      <c r="D57" s="147">
        <f t="shared" si="18"/>
        <v>0</v>
      </c>
      <c r="E57" s="147">
        <f t="shared" si="18"/>
        <v>0</v>
      </c>
      <c r="F57" s="147">
        <f t="shared" si="18"/>
        <v>0</v>
      </c>
      <c r="G57" s="147">
        <f t="shared" si="18"/>
        <v>0</v>
      </c>
      <c r="H57" s="147">
        <f t="shared" si="18"/>
        <v>0</v>
      </c>
      <c r="I57" s="147">
        <f t="shared" si="18"/>
        <v>0</v>
      </c>
      <c r="J57" s="147">
        <f t="shared" si="18"/>
        <v>0</v>
      </c>
      <c r="K57" s="147">
        <f t="shared" si="18"/>
        <v>3457958</v>
      </c>
      <c r="L57" s="147">
        <f t="shared" si="18"/>
        <v>7614121</v>
      </c>
      <c r="M57" s="147">
        <f t="shared" si="18"/>
        <v>-6238156</v>
      </c>
      <c r="N57" s="147">
        <f t="shared" si="18"/>
        <v>5426302</v>
      </c>
      <c r="O57" s="147">
        <f t="shared" si="18"/>
        <v>8224462</v>
      </c>
      <c r="P57" s="147">
        <f t="shared" si="18"/>
        <v>2400635</v>
      </c>
      <c r="Q57" s="147">
        <f t="shared" si="18"/>
        <v>-23622270</v>
      </c>
      <c r="R57" s="147">
        <f t="shared" si="18"/>
        <v>-14693192</v>
      </c>
      <c r="S57" s="147">
        <f t="shared" si="18"/>
        <v>-33676426</v>
      </c>
      <c r="T57" s="147">
        <f t="shared" si="18"/>
        <v>-27651458</v>
      </c>
      <c r="U57" s="147">
        <f t="shared" si="18"/>
        <v>-23113835</v>
      </c>
      <c r="V57" s="147">
        <f t="shared" si="18"/>
        <v>-17504277</v>
      </c>
      <c r="W57" s="147">
        <f t="shared" si="18"/>
        <v>-25215094</v>
      </c>
      <c r="X57" s="147">
        <f t="shared" si="18"/>
        <v>-26158943</v>
      </c>
      <c r="Y57" s="147">
        <f t="shared" si="18"/>
        <v>-30378383</v>
      </c>
      <c r="Z57" s="147">
        <f t="shared" si="18"/>
        <v>-34123962</v>
      </c>
      <c r="AA57" s="147">
        <f t="shared" si="18"/>
        <v>-26874299</v>
      </c>
      <c r="AB57" s="147">
        <f t="shared" si="18"/>
        <v>-16785219</v>
      </c>
      <c r="AC57" s="147">
        <f t="shared" si="18"/>
        <v>-7427491</v>
      </c>
      <c r="AD57" s="147">
        <f t="shared" si="18"/>
        <v>-22531702</v>
      </c>
      <c r="AE57" s="147">
        <f t="shared" si="18"/>
        <v>-11718613</v>
      </c>
      <c r="AF57" s="147">
        <f t="shared" si="18"/>
        <v>2452088</v>
      </c>
      <c r="AG57" s="147">
        <f t="shared" si="18"/>
        <v>-4375488</v>
      </c>
      <c r="AH57" s="147">
        <f t="shared" si="18"/>
        <v>-3270427</v>
      </c>
      <c r="AI57" s="147">
        <f t="shared" si="18"/>
        <v>-968768</v>
      </c>
      <c r="AJ57" s="147">
        <f t="shared" si="18"/>
        <v>-8817156</v>
      </c>
      <c r="AK57" s="147">
        <f t="shared" si="18"/>
        <v>-5113752</v>
      </c>
      <c r="AL57" s="147">
        <f t="shared" si="18"/>
        <v>-2322437</v>
      </c>
      <c r="AM57" s="147">
        <f t="shared" si="18"/>
        <v>-2161479</v>
      </c>
      <c r="AN57" s="147">
        <f t="shared" si="18"/>
        <v>-1990228</v>
      </c>
      <c r="AO57" s="147">
        <f t="shared" si="18"/>
        <v>-196701</v>
      </c>
      <c r="AP57" s="147">
        <f t="shared" si="18"/>
        <v>-2357523</v>
      </c>
      <c r="AQ57" s="147">
        <f t="shared" si="18"/>
        <v>-3397029</v>
      </c>
      <c r="AR57" s="147">
        <f t="shared" si="18"/>
        <v>-645244</v>
      </c>
      <c r="AS57" s="147">
        <f t="shared" si="18"/>
        <v>-482422</v>
      </c>
      <c r="AT57" s="147">
        <f t="shared" si="18"/>
        <v>-1317982</v>
      </c>
      <c r="AU57" s="147">
        <f t="shared" si="18"/>
        <v>-2073495</v>
      </c>
      <c r="AV57" s="147">
        <f t="shared" si="18"/>
        <v>-2408184</v>
      </c>
      <c r="AW57" s="147">
        <f t="shared" si="18"/>
        <v>-735379</v>
      </c>
    </row>
    <row r="58" spans="1:58" ht="15">
      <c r="A58" s="145" t="s">
        <v>284</v>
      </c>
      <c r="B58" s="146" t="s">
        <v>262</v>
      </c>
      <c r="C58" s="147">
        <f t="shared" si="18"/>
        <v>0</v>
      </c>
      <c r="D58" s="147">
        <f t="shared" si="18"/>
        <v>0</v>
      </c>
      <c r="E58" s="147">
        <f t="shared" si="18"/>
        <v>0</v>
      </c>
      <c r="F58" s="147">
        <f t="shared" si="18"/>
        <v>0</v>
      </c>
      <c r="G58" s="147">
        <f t="shared" si="18"/>
        <v>0</v>
      </c>
      <c r="H58" s="147">
        <f t="shared" si="18"/>
        <v>0</v>
      </c>
      <c r="I58" s="147">
        <f t="shared" si="18"/>
        <v>0</v>
      </c>
      <c r="J58" s="147">
        <f t="shared" si="18"/>
        <v>0</v>
      </c>
      <c r="K58" s="147">
        <f t="shared" si="18"/>
        <v>0</v>
      </c>
      <c r="L58" s="147">
        <f t="shared" si="18"/>
        <v>0</v>
      </c>
      <c r="M58" s="147">
        <f t="shared" si="18"/>
        <v>0</v>
      </c>
      <c r="N58" s="147">
        <f t="shared" si="18"/>
        <v>0</v>
      </c>
      <c r="O58" s="147">
        <f t="shared" si="18"/>
        <v>0</v>
      </c>
      <c r="P58" s="147">
        <f t="shared" si="18"/>
        <v>0</v>
      </c>
      <c r="Q58" s="147">
        <f t="shared" si="18"/>
        <v>0</v>
      </c>
      <c r="R58" s="147">
        <f t="shared" si="18"/>
        <v>0</v>
      </c>
      <c r="S58" s="147">
        <f t="shared" si="18"/>
        <v>0</v>
      </c>
      <c r="T58" s="147">
        <f t="shared" si="18"/>
        <v>0</v>
      </c>
      <c r="U58" s="147">
        <f t="shared" si="18"/>
        <v>0</v>
      </c>
      <c r="V58" s="147">
        <f t="shared" si="18"/>
        <v>0</v>
      </c>
      <c r="W58" s="147">
        <f t="shared" si="18"/>
        <v>0</v>
      </c>
      <c r="X58" s="147">
        <f t="shared" si="18"/>
        <v>0</v>
      </c>
      <c r="Y58" s="147">
        <f t="shared" si="18"/>
        <v>0</v>
      </c>
      <c r="Z58" s="147">
        <f t="shared" si="18"/>
        <v>0</v>
      </c>
      <c r="AA58" s="147">
        <f t="shared" si="18"/>
        <v>0</v>
      </c>
      <c r="AB58" s="147">
        <f t="shared" si="18"/>
        <v>0</v>
      </c>
      <c r="AC58" s="147">
        <f t="shared" si="18"/>
        <v>0</v>
      </c>
      <c r="AD58" s="147">
        <f t="shared" si="18"/>
        <v>0</v>
      </c>
      <c r="AE58" s="147">
        <f t="shared" si="18"/>
        <v>0</v>
      </c>
      <c r="AF58" s="147">
        <f t="shared" si="18"/>
        <v>0</v>
      </c>
      <c r="AG58" s="147">
        <f t="shared" si="18"/>
        <v>0</v>
      </c>
      <c r="AH58" s="147">
        <f t="shared" si="18"/>
        <v>0</v>
      </c>
      <c r="AI58" s="147">
        <f t="shared" si="18"/>
        <v>0</v>
      </c>
      <c r="AJ58" s="147">
        <f t="shared" si="18"/>
        <v>0</v>
      </c>
      <c r="AK58" s="147">
        <f t="shared" si="18"/>
        <v>0</v>
      </c>
      <c r="AL58" s="147">
        <f t="shared" si="18"/>
        <v>0</v>
      </c>
      <c r="AM58" s="147">
        <f t="shared" si="18"/>
        <v>0</v>
      </c>
      <c r="AN58" s="147">
        <f t="shared" si="18"/>
        <v>0</v>
      </c>
      <c r="AO58" s="147">
        <f t="shared" si="18"/>
        <v>0</v>
      </c>
      <c r="AP58" s="147">
        <f t="shared" si="18"/>
        <v>0</v>
      </c>
      <c r="AQ58" s="147">
        <f t="shared" si="18"/>
        <v>0</v>
      </c>
      <c r="AR58" s="147">
        <f t="shared" si="18"/>
        <v>0</v>
      </c>
      <c r="AS58" s="147">
        <f t="shared" si="18"/>
        <v>0</v>
      </c>
      <c r="AT58" s="147">
        <f t="shared" si="18"/>
        <v>0</v>
      </c>
      <c r="AU58" s="147">
        <f t="shared" si="18"/>
        <v>0</v>
      </c>
      <c r="AV58" s="147">
        <f t="shared" si="18"/>
        <v>0</v>
      </c>
      <c r="AW58" s="147">
        <f t="shared" si="18"/>
        <v>0</v>
      </c>
    </row>
    <row r="59" spans="1:58" ht="15">
      <c r="A59" s="185" t="s">
        <v>284</v>
      </c>
      <c r="B59" s="153" t="s">
        <v>79</v>
      </c>
      <c r="C59" s="186">
        <f t="shared" si="18"/>
        <v>5977157</v>
      </c>
      <c r="D59" s="186">
        <f t="shared" si="18"/>
        <v>7049803</v>
      </c>
      <c r="E59" s="186">
        <f t="shared" si="18"/>
        <v>7919317</v>
      </c>
      <c r="F59" s="186">
        <f t="shared" si="18"/>
        <v>9218983</v>
      </c>
      <c r="G59" s="186">
        <f t="shared" si="18"/>
        <v>9030888</v>
      </c>
      <c r="H59" s="186">
        <f t="shared" si="18"/>
        <v>8749522</v>
      </c>
      <c r="I59" s="186">
        <f t="shared" si="18"/>
        <v>8780845</v>
      </c>
      <c r="J59" s="186">
        <f t="shared" si="18"/>
        <v>8367732</v>
      </c>
      <c r="K59" s="186">
        <f t="shared" si="18"/>
        <v>7201462</v>
      </c>
      <c r="L59" s="186">
        <f t="shared" si="18"/>
        <v>5085433</v>
      </c>
      <c r="M59" s="186">
        <f t="shared" si="18"/>
        <v>5736938</v>
      </c>
      <c r="N59" s="186">
        <f t="shared" si="18"/>
        <v>6254341</v>
      </c>
      <c r="O59" s="186">
        <f t="shared" si="18"/>
        <v>6393470</v>
      </c>
      <c r="P59" s="186">
        <f t="shared" si="18"/>
        <v>5979646</v>
      </c>
      <c r="Q59" s="186">
        <f t="shared" si="18"/>
        <v>5655947</v>
      </c>
      <c r="R59" s="186">
        <f t="shared" si="18"/>
        <v>5326950</v>
      </c>
      <c r="S59" s="186">
        <f t="shared" si="18"/>
        <v>6013166</v>
      </c>
      <c r="T59" s="186">
        <f t="shared" si="18"/>
        <v>6021172</v>
      </c>
      <c r="U59" s="186">
        <f t="shared" si="18"/>
        <v>6790385</v>
      </c>
      <c r="V59" s="186">
        <f t="shared" si="18"/>
        <v>6072787</v>
      </c>
      <c r="W59" s="186">
        <f t="shared" si="18"/>
        <v>6972841</v>
      </c>
      <c r="X59" s="186">
        <f t="shared" si="18"/>
        <v>7333091</v>
      </c>
      <c r="Y59" s="186">
        <f t="shared" si="18"/>
        <v>7146309</v>
      </c>
      <c r="Z59" s="186">
        <f t="shared" si="18"/>
        <v>6589218</v>
      </c>
      <c r="AA59" s="186">
        <f t="shared" si="18"/>
        <v>6511459</v>
      </c>
      <c r="AB59" s="186">
        <f t="shared" si="18"/>
        <v>6398783</v>
      </c>
      <c r="AC59" s="186">
        <f t="shared" si="18"/>
        <v>6040763</v>
      </c>
      <c r="AD59" s="186">
        <f t="shared" si="18"/>
        <v>7179277</v>
      </c>
      <c r="AE59" s="186">
        <f t="shared" si="18"/>
        <v>7054349</v>
      </c>
      <c r="AF59" s="186">
        <f t="shared" si="18"/>
        <v>6870224</v>
      </c>
      <c r="AG59" s="186">
        <f t="shared" si="18"/>
        <v>7400355</v>
      </c>
      <c r="AH59" s="186">
        <f t="shared" si="18"/>
        <v>8276037</v>
      </c>
      <c r="AI59" s="186">
        <f t="shared" si="18"/>
        <v>6547837</v>
      </c>
      <c r="AJ59" s="186">
        <f t="shared" si="18"/>
        <v>7470836</v>
      </c>
      <c r="AK59" s="186">
        <f t="shared" si="18"/>
        <v>8668846</v>
      </c>
      <c r="AL59" s="186">
        <f t="shared" si="18"/>
        <v>8428717</v>
      </c>
      <c r="AM59" s="186">
        <f t="shared" si="18"/>
        <v>7411721</v>
      </c>
      <c r="AN59" s="186">
        <f t="shared" si="18"/>
        <v>8359226</v>
      </c>
      <c r="AO59" s="186">
        <f t="shared" si="18"/>
        <v>8345470</v>
      </c>
      <c r="AP59" s="186">
        <f t="shared" si="18"/>
        <v>6656287</v>
      </c>
      <c r="AQ59" s="186">
        <f t="shared" si="18"/>
        <v>7388514</v>
      </c>
      <c r="AR59" s="186">
        <f t="shared" si="18"/>
        <v>7132808</v>
      </c>
      <c r="AS59" s="186">
        <f t="shared" si="18"/>
        <v>5394483</v>
      </c>
      <c r="AT59" s="186">
        <f t="shared" si="18"/>
        <v>6456683</v>
      </c>
      <c r="AU59" s="186">
        <f t="shared" si="18"/>
        <v>6938324</v>
      </c>
      <c r="AV59" s="186">
        <f t="shared" si="18"/>
        <v>6112342</v>
      </c>
      <c r="AW59" s="186">
        <f t="shared" si="18"/>
        <v>7483740</v>
      </c>
    </row>
    <row r="60" spans="1:58" ht="15">
      <c r="A60" s="185" t="s">
        <v>284</v>
      </c>
      <c r="B60" s="153" t="s">
        <v>104</v>
      </c>
      <c r="C60" s="186">
        <f t="shared" si="18"/>
        <v>9575307</v>
      </c>
      <c r="D60" s="186">
        <f t="shared" si="18"/>
        <v>9444981</v>
      </c>
      <c r="E60" s="186">
        <f t="shared" si="18"/>
        <v>9592968</v>
      </c>
      <c r="F60" s="186">
        <f t="shared" si="18"/>
        <v>13028293</v>
      </c>
      <c r="G60" s="186">
        <f t="shared" si="18"/>
        <v>15134172</v>
      </c>
      <c r="H60" s="186">
        <f t="shared" si="18"/>
        <v>11910082</v>
      </c>
      <c r="I60" s="186">
        <f t="shared" si="18"/>
        <v>10146244</v>
      </c>
      <c r="J60" s="186">
        <f t="shared" si="18"/>
        <v>10021051</v>
      </c>
      <c r="K60" s="186">
        <f t="shared" si="18"/>
        <v>8920850</v>
      </c>
      <c r="L60" s="186">
        <f t="shared" si="18"/>
        <v>6822453</v>
      </c>
      <c r="M60" s="186">
        <f t="shared" si="18"/>
        <v>4496073</v>
      </c>
      <c r="N60" s="186">
        <f t="shared" si="18"/>
        <v>6061464</v>
      </c>
      <c r="O60" s="186">
        <f t="shared" si="18"/>
        <v>6195792</v>
      </c>
      <c r="P60" s="186">
        <f t="shared" si="18"/>
        <v>4028100</v>
      </c>
      <c r="Q60" s="186">
        <f t="shared" si="18"/>
        <v>5375730</v>
      </c>
      <c r="R60" s="186">
        <f t="shared" si="18"/>
        <v>4268786</v>
      </c>
      <c r="S60" s="186">
        <f t="shared" si="18"/>
        <v>5424624</v>
      </c>
      <c r="T60" s="186">
        <f t="shared" si="18"/>
        <v>4691084</v>
      </c>
      <c r="U60" s="186">
        <f t="shared" si="18"/>
        <v>4885964</v>
      </c>
      <c r="V60" s="186">
        <f t="shared" si="18"/>
        <v>5656610</v>
      </c>
      <c r="W60" s="186">
        <f t="shared" si="18"/>
        <v>4694261</v>
      </c>
      <c r="X60" s="186">
        <f t="shared" si="18"/>
        <v>5401499</v>
      </c>
      <c r="Y60" s="186">
        <f t="shared" si="18"/>
        <v>11304914</v>
      </c>
      <c r="Z60" s="186">
        <f t="shared" si="18"/>
        <v>12567468</v>
      </c>
      <c r="AA60" s="186">
        <f t="shared" si="18"/>
        <v>11339312</v>
      </c>
      <c r="AB60" s="186">
        <f t="shared" si="18"/>
        <v>14225315</v>
      </c>
      <c r="AC60" s="186">
        <f t="shared" si="18"/>
        <v>17570959</v>
      </c>
      <c r="AD60" s="186">
        <f t="shared" si="18"/>
        <v>13556836</v>
      </c>
      <c r="AE60" s="186">
        <f t="shared" si="18"/>
        <v>16260478</v>
      </c>
      <c r="AF60" s="186">
        <f t="shared" si="18"/>
        <v>16423526</v>
      </c>
      <c r="AG60" s="186">
        <f t="shared" si="18"/>
        <v>18222884</v>
      </c>
      <c r="AH60" s="186">
        <f t="shared" si="18"/>
        <v>11039632</v>
      </c>
      <c r="AI60" s="186">
        <f t="shared" si="18"/>
        <v>11702561</v>
      </c>
      <c r="AJ60" s="186">
        <f t="shared" si="18"/>
        <v>9217352</v>
      </c>
      <c r="AK60" s="186">
        <f t="shared" si="18"/>
        <v>6236853</v>
      </c>
      <c r="AL60" s="186">
        <f t="shared" si="18"/>
        <v>6037158</v>
      </c>
      <c r="AM60" s="186">
        <f t="shared" si="18"/>
        <v>5844933</v>
      </c>
      <c r="AN60" s="186">
        <f t="shared" si="18"/>
        <v>6665347</v>
      </c>
      <c r="AO60" s="186">
        <f t="shared" si="18"/>
        <v>6479179</v>
      </c>
      <c r="AP60" s="186">
        <f t="shared" si="18"/>
        <v>8580187</v>
      </c>
      <c r="AQ60" s="186">
        <f t="shared" si="18"/>
        <v>10434052</v>
      </c>
      <c r="AR60" s="186">
        <f t="shared" si="18"/>
        <v>9498536</v>
      </c>
      <c r="AS60" s="186">
        <f t="shared" si="18"/>
        <v>2475231</v>
      </c>
      <c r="AT60" s="186">
        <f t="shared" si="18"/>
        <v>3402981</v>
      </c>
      <c r="AU60" s="186">
        <f t="shared" si="18"/>
        <v>2892293</v>
      </c>
      <c r="AV60" s="186">
        <f t="shared" si="18"/>
        <v>7818742</v>
      </c>
      <c r="AW60" s="186">
        <f t="shared" si="18"/>
        <v>12806610</v>
      </c>
    </row>
    <row r="61" spans="1:58" ht="15">
      <c r="A61" s="185" t="s">
        <v>284</v>
      </c>
      <c r="B61" s="153" t="s">
        <v>81</v>
      </c>
      <c r="C61" s="186">
        <f t="shared" si="18"/>
        <v>33824439</v>
      </c>
      <c r="D61" s="186">
        <f t="shared" si="18"/>
        <v>48244337</v>
      </c>
      <c r="E61" s="186">
        <f t="shared" si="18"/>
        <v>48597586</v>
      </c>
      <c r="F61" s="186">
        <f t="shared" si="18"/>
        <v>57105765</v>
      </c>
      <c r="G61" s="186">
        <f t="shared" si="18"/>
        <v>56070850</v>
      </c>
      <c r="H61" s="186">
        <f t="shared" si="18"/>
        <v>63155058</v>
      </c>
      <c r="I61" s="186">
        <f t="shared" si="18"/>
        <v>61326910</v>
      </c>
      <c r="J61" s="186">
        <f t="shared" si="18"/>
        <v>62019235</v>
      </c>
      <c r="K61" s="186">
        <f t="shared" si="18"/>
        <v>64445340</v>
      </c>
      <c r="L61" s="186">
        <f t="shared" si="18"/>
        <v>58975868</v>
      </c>
      <c r="M61" s="186">
        <f t="shared" si="18"/>
        <v>60756880</v>
      </c>
      <c r="N61" s="186">
        <f t="shared" si="18"/>
        <v>59982727</v>
      </c>
      <c r="O61" s="186">
        <f t="shared" si="18"/>
        <v>62114930</v>
      </c>
      <c r="P61" s="186">
        <f t="shared" si="18"/>
        <v>61796391</v>
      </c>
      <c r="Q61" s="186">
        <f t="shared" si="18"/>
        <v>49031257</v>
      </c>
      <c r="R61" s="186">
        <f t="shared" si="18"/>
        <v>46292641</v>
      </c>
      <c r="S61" s="186">
        <f t="shared" si="18"/>
        <v>41437657</v>
      </c>
      <c r="T61" s="186">
        <f t="shared" si="18"/>
        <v>50344834</v>
      </c>
      <c r="U61" s="186">
        <f t="shared" si="18"/>
        <v>50786410</v>
      </c>
      <c r="V61" s="186">
        <f t="shared" si="18"/>
        <v>51394132</v>
      </c>
      <c r="W61" s="186">
        <f t="shared" ref="W61:AW61" si="19">W25-W42</f>
        <v>55869104</v>
      </c>
      <c r="X61" s="186">
        <f t="shared" si="19"/>
        <v>59725978</v>
      </c>
      <c r="Y61" s="186">
        <f t="shared" si="19"/>
        <v>62788718</v>
      </c>
      <c r="Z61" s="186">
        <f t="shared" si="19"/>
        <v>66583628</v>
      </c>
      <c r="AA61" s="186">
        <f t="shared" si="19"/>
        <v>57726723</v>
      </c>
      <c r="AB61" s="186">
        <f t="shared" si="19"/>
        <v>61980353</v>
      </c>
      <c r="AC61" s="186">
        <f t="shared" si="19"/>
        <v>60315752</v>
      </c>
      <c r="AD61" s="186">
        <f t="shared" si="19"/>
        <v>57446126</v>
      </c>
      <c r="AE61" s="186">
        <f t="shared" si="19"/>
        <v>61342053</v>
      </c>
      <c r="AF61" s="186">
        <f t="shared" si="19"/>
        <v>90061056</v>
      </c>
      <c r="AG61" s="186">
        <f t="shared" si="19"/>
        <v>118485777</v>
      </c>
      <c r="AH61" s="186">
        <f t="shared" si="19"/>
        <v>93696366</v>
      </c>
      <c r="AI61" s="186">
        <f t="shared" si="19"/>
        <v>82459766</v>
      </c>
      <c r="AJ61" s="186">
        <f t="shared" si="19"/>
        <v>97225445</v>
      </c>
      <c r="AK61" s="186">
        <f t="shared" si="19"/>
        <v>93199664</v>
      </c>
      <c r="AL61" s="186">
        <f t="shared" si="19"/>
        <v>92604525</v>
      </c>
      <c r="AM61" s="186">
        <f t="shared" si="19"/>
        <v>86703753</v>
      </c>
      <c r="AN61" s="186">
        <f t="shared" si="19"/>
        <v>83837811</v>
      </c>
      <c r="AO61" s="186">
        <f t="shared" si="19"/>
        <v>82142114</v>
      </c>
      <c r="AP61" s="186">
        <f t="shared" si="19"/>
        <v>79762149</v>
      </c>
      <c r="AQ61" s="186">
        <f t="shared" si="19"/>
        <v>91107522</v>
      </c>
      <c r="AR61" s="186">
        <f t="shared" si="19"/>
        <v>84541224</v>
      </c>
      <c r="AS61" s="186">
        <f t="shared" si="19"/>
        <v>88110964</v>
      </c>
      <c r="AT61" s="186">
        <f t="shared" si="19"/>
        <v>91694638</v>
      </c>
      <c r="AU61" s="186">
        <f t="shared" si="19"/>
        <v>86924215</v>
      </c>
      <c r="AV61" s="186">
        <f t="shared" si="19"/>
        <v>83700447</v>
      </c>
      <c r="AW61" s="186">
        <f t="shared" si="19"/>
        <v>90538388</v>
      </c>
    </row>
    <row r="62" spans="1:58" ht="15">
      <c r="A62" s="185" t="s">
        <v>284</v>
      </c>
      <c r="B62" s="153" t="s">
        <v>100</v>
      </c>
      <c r="C62" s="186">
        <f t="shared" ref="C62:AW67" si="20">C26-C43</f>
        <v>5008546</v>
      </c>
      <c r="D62" s="186">
        <f t="shared" si="20"/>
        <v>7391520</v>
      </c>
      <c r="E62" s="186">
        <f t="shared" si="20"/>
        <v>7297155</v>
      </c>
      <c r="F62" s="186">
        <f t="shared" si="20"/>
        <v>8787532</v>
      </c>
      <c r="G62" s="186">
        <f t="shared" si="20"/>
        <v>7581595</v>
      </c>
      <c r="H62" s="186">
        <f t="shared" si="20"/>
        <v>7699799</v>
      </c>
      <c r="I62" s="186">
        <f t="shared" si="20"/>
        <v>7435207</v>
      </c>
      <c r="J62" s="186">
        <f t="shared" si="20"/>
        <v>5786240</v>
      </c>
      <c r="K62" s="186">
        <f t="shared" si="20"/>
        <v>4360987</v>
      </c>
      <c r="L62" s="186">
        <f t="shared" si="20"/>
        <v>4202977</v>
      </c>
      <c r="M62" s="186">
        <f t="shared" si="20"/>
        <v>4866847</v>
      </c>
      <c r="N62" s="186">
        <f t="shared" si="20"/>
        <v>4194335</v>
      </c>
      <c r="O62" s="186">
        <f t="shared" si="20"/>
        <v>4234856</v>
      </c>
      <c r="P62" s="186">
        <f t="shared" si="20"/>
        <v>4381495</v>
      </c>
      <c r="Q62" s="186">
        <f t="shared" si="20"/>
        <v>2771646</v>
      </c>
      <c r="R62" s="186">
        <f t="shared" si="20"/>
        <v>968702</v>
      </c>
      <c r="S62" s="186">
        <f t="shared" si="20"/>
        <v>1765231</v>
      </c>
      <c r="T62" s="186">
        <f t="shared" si="20"/>
        <v>2850425</v>
      </c>
      <c r="U62" s="186">
        <f t="shared" si="20"/>
        <v>8313503</v>
      </c>
      <c r="V62" s="186">
        <f t="shared" si="20"/>
        <v>11306347</v>
      </c>
      <c r="W62" s="186">
        <f t="shared" si="20"/>
        <v>10126633</v>
      </c>
      <c r="X62" s="186">
        <f t="shared" si="20"/>
        <v>13004938</v>
      </c>
      <c r="Y62" s="186">
        <f t="shared" si="20"/>
        <v>11827476</v>
      </c>
      <c r="Z62" s="186">
        <f t="shared" si="20"/>
        <v>12121841</v>
      </c>
      <c r="AA62" s="186">
        <f t="shared" si="20"/>
        <v>14440260</v>
      </c>
      <c r="AB62" s="186">
        <f t="shared" si="20"/>
        <v>8700000</v>
      </c>
      <c r="AC62" s="186">
        <f t="shared" si="20"/>
        <v>5982338</v>
      </c>
      <c r="AD62" s="186">
        <f t="shared" si="20"/>
        <v>8175347</v>
      </c>
      <c r="AE62" s="186">
        <f t="shared" si="20"/>
        <v>11076492</v>
      </c>
      <c r="AF62" s="186">
        <f t="shared" si="20"/>
        <v>11709200</v>
      </c>
      <c r="AG62" s="186">
        <f t="shared" si="20"/>
        <v>18676769</v>
      </c>
      <c r="AH62" s="186">
        <f t="shared" si="20"/>
        <v>19528356</v>
      </c>
      <c r="AI62" s="186">
        <f t="shared" si="20"/>
        <v>18447916</v>
      </c>
      <c r="AJ62" s="186">
        <f t="shared" si="20"/>
        <v>26496112</v>
      </c>
      <c r="AK62" s="186">
        <f t="shared" si="20"/>
        <v>25036556</v>
      </c>
      <c r="AL62" s="186">
        <f t="shared" si="20"/>
        <v>26352301</v>
      </c>
      <c r="AM62" s="186">
        <f t="shared" si="20"/>
        <v>25340447</v>
      </c>
      <c r="AN62" s="186">
        <f t="shared" si="20"/>
        <v>28152548</v>
      </c>
      <c r="AO62" s="186">
        <f t="shared" si="20"/>
        <v>26660150</v>
      </c>
      <c r="AP62" s="186">
        <f t="shared" si="20"/>
        <v>28135844</v>
      </c>
      <c r="AQ62" s="186">
        <f t="shared" si="20"/>
        <v>25289900</v>
      </c>
      <c r="AR62" s="186">
        <f t="shared" si="20"/>
        <v>22936754</v>
      </c>
      <c r="AS62" s="186">
        <f t="shared" si="20"/>
        <v>25976450</v>
      </c>
      <c r="AT62" s="186">
        <f t="shared" si="20"/>
        <v>17426682</v>
      </c>
      <c r="AU62" s="186">
        <f t="shared" si="20"/>
        <v>33097544</v>
      </c>
      <c r="AV62" s="186">
        <f t="shared" si="20"/>
        <v>38224247</v>
      </c>
      <c r="AW62" s="186">
        <f t="shared" si="20"/>
        <v>34460788</v>
      </c>
    </row>
    <row r="63" spans="1:58" ht="15">
      <c r="A63" s="185" t="s">
        <v>284</v>
      </c>
      <c r="B63" s="153" t="s">
        <v>51</v>
      </c>
      <c r="C63" s="186">
        <f t="shared" si="20"/>
        <v>46466222</v>
      </c>
      <c r="D63" s="186">
        <f t="shared" si="20"/>
        <v>70621229</v>
      </c>
      <c r="E63" s="186">
        <f t="shared" si="20"/>
        <v>77911149</v>
      </c>
      <c r="F63" s="186">
        <f t="shared" si="20"/>
        <v>100288406</v>
      </c>
      <c r="G63" s="186">
        <f t="shared" si="20"/>
        <v>111496174</v>
      </c>
      <c r="H63" s="186">
        <f t="shared" si="20"/>
        <v>135560544</v>
      </c>
      <c r="I63" s="186">
        <f t="shared" si="20"/>
        <v>133272802</v>
      </c>
      <c r="J63" s="186">
        <f t="shared" si="20"/>
        <v>137927514</v>
      </c>
      <c r="K63" s="186">
        <f t="shared" si="20"/>
        <v>138479538</v>
      </c>
      <c r="L63" s="186">
        <f t="shared" si="20"/>
        <v>129432995</v>
      </c>
      <c r="M63" s="186">
        <f t="shared" si="20"/>
        <v>137246267</v>
      </c>
      <c r="N63" s="186">
        <f t="shared" si="20"/>
        <v>134979024</v>
      </c>
      <c r="O63" s="186">
        <f t="shared" si="20"/>
        <v>137455954</v>
      </c>
      <c r="P63" s="186">
        <f t="shared" si="20"/>
        <v>153685686</v>
      </c>
      <c r="Q63" s="186">
        <f t="shared" si="20"/>
        <v>118872790</v>
      </c>
      <c r="R63" s="186">
        <f t="shared" si="20"/>
        <v>114475679</v>
      </c>
      <c r="S63" s="186">
        <f t="shared" si="20"/>
        <v>109573484</v>
      </c>
      <c r="T63" s="186">
        <f t="shared" si="20"/>
        <v>130032331</v>
      </c>
      <c r="U63" s="186">
        <f t="shared" si="20"/>
        <v>140327200</v>
      </c>
      <c r="V63" s="186">
        <f t="shared" si="20"/>
        <v>128766978</v>
      </c>
      <c r="W63" s="186">
        <f t="shared" si="20"/>
        <v>146603382</v>
      </c>
      <c r="X63" s="186">
        <f t="shared" si="20"/>
        <v>133552850</v>
      </c>
      <c r="Y63" s="186">
        <f t="shared" si="20"/>
        <v>132655982</v>
      </c>
      <c r="Z63" s="186">
        <f t="shared" si="20"/>
        <v>137924190</v>
      </c>
      <c r="AA63" s="186">
        <f t="shared" si="20"/>
        <v>139704266</v>
      </c>
      <c r="AB63" s="186">
        <f t="shared" si="20"/>
        <v>155591593</v>
      </c>
      <c r="AC63" s="186">
        <f t="shared" si="20"/>
        <v>166957192</v>
      </c>
      <c r="AD63" s="186">
        <f t="shared" si="20"/>
        <v>172687242</v>
      </c>
      <c r="AE63" s="186">
        <f t="shared" si="20"/>
        <v>172569812</v>
      </c>
      <c r="AF63" s="186">
        <f t="shared" si="20"/>
        <v>176938275</v>
      </c>
      <c r="AG63" s="186">
        <f t="shared" si="20"/>
        <v>195033502</v>
      </c>
      <c r="AH63" s="186">
        <f t="shared" si="20"/>
        <v>164120576</v>
      </c>
      <c r="AI63" s="186">
        <f t="shared" si="20"/>
        <v>139695280</v>
      </c>
      <c r="AJ63" s="186">
        <f t="shared" si="20"/>
        <v>120890696</v>
      </c>
      <c r="AK63" s="186">
        <f t="shared" si="20"/>
        <v>128708644</v>
      </c>
      <c r="AL63" s="186">
        <f t="shared" si="20"/>
        <v>131565654</v>
      </c>
      <c r="AM63" s="186">
        <f t="shared" si="20"/>
        <v>125381005</v>
      </c>
      <c r="AN63" s="186">
        <f t="shared" si="20"/>
        <v>136976159</v>
      </c>
      <c r="AO63" s="186">
        <f t="shared" si="20"/>
        <v>133347374</v>
      </c>
      <c r="AP63" s="186">
        <f t="shared" si="20"/>
        <v>124483862</v>
      </c>
      <c r="AQ63" s="186">
        <f t="shared" si="20"/>
        <v>129065744</v>
      </c>
      <c r="AR63" s="186">
        <f t="shared" si="20"/>
        <v>137619831</v>
      </c>
      <c r="AS63" s="186">
        <f t="shared" si="20"/>
        <v>116353742</v>
      </c>
      <c r="AT63" s="186">
        <f t="shared" si="20"/>
        <v>133120644</v>
      </c>
      <c r="AU63" s="186">
        <f t="shared" si="20"/>
        <v>117122298</v>
      </c>
      <c r="AV63" s="186">
        <f t="shared" si="20"/>
        <v>122001490</v>
      </c>
      <c r="AW63" s="186">
        <f t="shared" si="20"/>
        <v>145612856</v>
      </c>
    </row>
    <row r="64" spans="1:58" ht="15">
      <c r="A64" s="185" t="s">
        <v>284</v>
      </c>
      <c r="B64" s="153" t="s">
        <v>263</v>
      </c>
      <c r="C64" s="186">
        <f t="shared" si="20"/>
        <v>80337564</v>
      </c>
      <c r="D64" s="186">
        <f t="shared" si="20"/>
        <v>108952923</v>
      </c>
      <c r="E64" s="186">
        <f t="shared" si="20"/>
        <v>119452562</v>
      </c>
      <c r="F64" s="186">
        <f t="shared" si="20"/>
        <v>159299237</v>
      </c>
      <c r="G64" s="186">
        <f t="shared" si="20"/>
        <v>192970805</v>
      </c>
      <c r="H64" s="186">
        <f t="shared" si="20"/>
        <v>187031593</v>
      </c>
      <c r="I64" s="186">
        <f t="shared" si="20"/>
        <v>165126497</v>
      </c>
      <c r="J64" s="186">
        <f t="shared" si="20"/>
        <v>150790324</v>
      </c>
      <c r="K64" s="186">
        <f t="shared" si="20"/>
        <v>133591800</v>
      </c>
      <c r="L64" s="186">
        <f t="shared" si="20"/>
        <v>98103879</v>
      </c>
      <c r="M64" s="186">
        <f t="shared" si="20"/>
        <v>97093437</v>
      </c>
      <c r="N64" s="186">
        <f t="shared" si="20"/>
        <v>82504852</v>
      </c>
      <c r="O64" s="186">
        <f t="shared" si="20"/>
        <v>88431192</v>
      </c>
      <c r="P64" s="186">
        <f t="shared" si="20"/>
        <v>102806912</v>
      </c>
      <c r="Q64" s="186">
        <f t="shared" si="20"/>
        <v>80112643</v>
      </c>
      <c r="R64" s="186">
        <f t="shared" si="20"/>
        <v>66826132</v>
      </c>
      <c r="S64" s="186">
        <f t="shared" si="20"/>
        <v>68385634</v>
      </c>
      <c r="T64" s="186">
        <f t="shared" si="20"/>
        <v>81097978</v>
      </c>
      <c r="U64" s="186">
        <f t="shared" si="20"/>
        <v>85912155</v>
      </c>
      <c r="V64" s="186">
        <f t="shared" si="20"/>
        <v>76045390</v>
      </c>
      <c r="W64" s="186">
        <f t="shared" si="20"/>
        <v>85383363</v>
      </c>
      <c r="X64" s="186">
        <f t="shared" si="20"/>
        <v>88541878</v>
      </c>
      <c r="Y64" s="186">
        <f t="shared" si="20"/>
        <v>97109399</v>
      </c>
      <c r="Z64" s="186">
        <f t="shared" si="20"/>
        <v>99213126</v>
      </c>
      <c r="AA64" s="186">
        <f t="shared" si="20"/>
        <v>86778934</v>
      </c>
      <c r="AB64" s="186">
        <f t="shared" si="20"/>
        <v>81616267</v>
      </c>
      <c r="AC64" s="186">
        <f t="shared" si="20"/>
        <v>82738893</v>
      </c>
      <c r="AD64" s="186">
        <f t="shared" si="20"/>
        <v>91002212</v>
      </c>
      <c r="AE64" s="186">
        <f t="shared" si="20"/>
        <v>89412157</v>
      </c>
      <c r="AF64" s="186">
        <f t="shared" si="20"/>
        <v>84054382</v>
      </c>
      <c r="AG64" s="186">
        <f t="shared" si="20"/>
        <v>77712675</v>
      </c>
      <c r="AH64" s="186">
        <f t="shared" si="20"/>
        <v>55512232</v>
      </c>
      <c r="AI64" s="186">
        <f t="shared" si="20"/>
        <v>61817810</v>
      </c>
      <c r="AJ64" s="186">
        <f t="shared" si="20"/>
        <v>59258270</v>
      </c>
      <c r="AK64" s="186">
        <f t="shared" si="20"/>
        <v>68899229</v>
      </c>
      <c r="AL64" s="186">
        <f t="shared" si="20"/>
        <v>65688327</v>
      </c>
      <c r="AM64" s="186">
        <f t="shared" si="20"/>
        <v>65739627</v>
      </c>
      <c r="AN64" s="186">
        <f t="shared" si="20"/>
        <v>67542414</v>
      </c>
      <c r="AO64" s="186">
        <f t="shared" si="20"/>
        <v>65213047</v>
      </c>
      <c r="AP64" s="186">
        <f t="shared" si="20"/>
        <v>63024451</v>
      </c>
      <c r="AQ64" s="186">
        <f t="shared" si="20"/>
        <v>62021047</v>
      </c>
      <c r="AR64" s="186">
        <f t="shared" si="20"/>
        <v>56594800</v>
      </c>
      <c r="AS64" s="186">
        <f t="shared" si="20"/>
        <v>75740137</v>
      </c>
      <c r="AT64" s="186">
        <f t="shared" si="20"/>
        <v>63542901</v>
      </c>
      <c r="AU64" s="186">
        <f t="shared" si="20"/>
        <v>55176644</v>
      </c>
      <c r="AV64" s="186">
        <f t="shared" si="20"/>
        <v>47612577</v>
      </c>
      <c r="AW64" s="186">
        <f t="shared" si="20"/>
        <v>49889474</v>
      </c>
    </row>
    <row r="65" spans="1:49" ht="15">
      <c r="A65" s="145" t="s">
        <v>284</v>
      </c>
      <c r="B65" s="146" t="s">
        <v>264</v>
      </c>
      <c r="C65" s="147">
        <f t="shared" si="20"/>
        <v>0</v>
      </c>
      <c r="D65" s="147">
        <f t="shared" si="20"/>
        <v>0</v>
      </c>
      <c r="E65" s="147">
        <f t="shared" si="20"/>
        <v>0</v>
      </c>
      <c r="F65" s="147">
        <f t="shared" si="20"/>
        <v>0</v>
      </c>
      <c r="G65" s="147">
        <f t="shared" si="20"/>
        <v>0</v>
      </c>
      <c r="H65" s="147">
        <f t="shared" si="20"/>
        <v>0</v>
      </c>
      <c r="I65" s="147">
        <f t="shared" si="20"/>
        <v>0</v>
      </c>
      <c r="J65" s="147">
        <f t="shared" si="20"/>
        <v>0</v>
      </c>
      <c r="K65" s="147">
        <f t="shared" si="20"/>
        <v>0</v>
      </c>
      <c r="L65" s="147">
        <f t="shared" si="20"/>
        <v>0</v>
      </c>
      <c r="M65" s="147">
        <f t="shared" si="20"/>
        <v>0</v>
      </c>
      <c r="N65" s="147">
        <f t="shared" si="20"/>
        <v>0</v>
      </c>
      <c r="O65" s="147">
        <f t="shared" si="20"/>
        <v>0</v>
      </c>
      <c r="P65" s="147">
        <f t="shared" si="20"/>
        <v>0</v>
      </c>
      <c r="Q65" s="147">
        <f t="shared" si="20"/>
        <v>0</v>
      </c>
      <c r="R65" s="147">
        <f t="shared" si="20"/>
        <v>0</v>
      </c>
      <c r="S65" s="147">
        <f t="shared" si="20"/>
        <v>0</v>
      </c>
      <c r="T65" s="147">
        <f t="shared" si="20"/>
        <v>0</v>
      </c>
      <c r="U65" s="147">
        <f t="shared" si="20"/>
        <v>0</v>
      </c>
      <c r="V65" s="147">
        <f t="shared" si="20"/>
        <v>0</v>
      </c>
      <c r="W65" s="147">
        <f t="shared" si="20"/>
        <v>0</v>
      </c>
      <c r="X65" s="147">
        <f t="shared" si="20"/>
        <v>0</v>
      </c>
      <c r="Y65" s="147">
        <f t="shared" si="20"/>
        <v>0</v>
      </c>
      <c r="Z65" s="147">
        <f t="shared" si="20"/>
        <v>0</v>
      </c>
      <c r="AA65" s="147">
        <f t="shared" si="20"/>
        <v>0</v>
      </c>
      <c r="AB65" s="147">
        <f t="shared" si="20"/>
        <v>0</v>
      </c>
      <c r="AC65" s="147">
        <f t="shared" si="20"/>
        <v>0</v>
      </c>
      <c r="AD65" s="147">
        <f t="shared" si="20"/>
        <v>0</v>
      </c>
      <c r="AE65" s="147">
        <f t="shared" si="20"/>
        <v>0</v>
      </c>
      <c r="AF65" s="147">
        <f t="shared" si="20"/>
        <v>0</v>
      </c>
      <c r="AG65" s="147">
        <f t="shared" si="20"/>
        <v>0</v>
      </c>
      <c r="AH65" s="147">
        <f t="shared" si="20"/>
        <v>0</v>
      </c>
      <c r="AI65" s="147">
        <f t="shared" si="20"/>
        <v>0</v>
      </c>
      <c r="AJ65" s="147">
        <f t="shared" si="20"/>
        <v>0</v>
      </c>
      <c r="AK65" s="147">
        <f t="shared" si="20"/>
        <v>0</v>
      </c>
      <c r="AL65" s="147">
        <f t="shared" si="20"/>
        <v>0</v>
      </c>
      <c r="AM65" s="147">
        <f t="shared" si="20"/>
        <v>0</v>
      </c>
      <c r="AN65" s="147">
        <f t="shared" si="20"/>
        <v>0</v>
      </c>
      <c r="AO65" s="147">
        <f t="shared" si="20"/>
        <v>0</v>
      </c>
      <c r="AP65" s="147">
        <f t="shared" si="20"/>
        <v>0</v>
      </c>
      <c r="AQ65" s="147">
        <f t="shared" si="20"/>
        <v>0</v>
      </c>
      <c r="AR65" s="147">
        <f t="shared" si="20"/>
        <v>0</v>
      </c>
      <c r="AS65" s="147">
        <f t="shared" si="20"/>
        <v>0</v>
      </c>
      <c r="AT65" s="147">
        <f t="shared" si="20"/>
        <v>0</v>
      </c>
      <c r="AU65" s="147">
        <f t="shared" si="20"/>
        <v>0</v>
      </c>
      <c r="AV65" s="147">
        <f t="shared" si="20"/>
        <v>0</v>
      </c>
      <c r="AW65" s="147">
        <f t="shared" si="20"/>
        <v>0</v>
      </c>
    </row>
    <row r="66" spans="1:49" ht="15">
      <c r="A66" s="145" t="s">
        <v>284</v>
      </c>
      <c r="B66" s="146" t="s">
        <v>265</v>
      </c>
      <c r="C66" s="147">
        <f t="shared" si="20"/>
        <v>0</v>
      </c>
      <c r="D66" s="147">
        <f t="shared" si="20"/>
        <v>0</v>
      </c>
      <c r="E66" s="147">
        <f t="shared" si="20"/>
        <v>0</v>
      </c>
      <c r="F66" s="147">
        <f t="shared" si="20"/>
        <v>0</v>
      </c>
      <c r="G66" s="147">
        <f t="shared" si="20"/>
        <v>0</v>
      </c>
      <c r="H66" s="147">
        <f t="shared" si="20"/>
        <v>0</v>
      </c>
      <c r="I66" s="147">
        <f t="shared" si="20"/>
        <v>0</v>
      </c>
      <c r="J66" s="147">
        <f t="shared" si="20"/>
        <v>0</v>
      </c>
      <c r="K66" s="147">
        <f t="shared" si="20"/>
        <v>0</v>
      </c>
      <c r="L66" s="147">
        <f t="shared" si="20"/>
        <v>0</v>
      </c>
      <c r="M66" s="147">
        <f t="shared" si="20"/>
        <v>0</v>
      </c>
      <c r="N66" s="147">
        <f t="shared" si="20"/>
        <v>0</v>
      </c>
      <c r="O66" s="147">
        <f t="shared" si="20"/>
        <v>0</v>
      </c>
      <c r="P66" s="147">
        <f t="shared" si="20"/>
        <v>0</v>
      </c>
      <c r="Q66" s="147">
        <f t="shared" si="20"/>
        <v>0</v>
      </c>
      <c r="R66" s="147">
        <f t="shared" si="20"/>
        <v>0</v>
      </c>
      <c r="S66" s="147">
        <f t="shared" si="20"/>
        <v>0</v>
      </c>
      <c r="T66" s="147">
        <f t="shared" si="20"/>
        <v>0</v>
      </c>
      <c r="U66" s="147">
        <f t="shared" si="20"/>
        <v>0</v>
      </c>
      <c r="V66" s="147">
        <f t="shared" si="20"/>
        <v>0</v>
      </c>
      <c r="W66" s="147">
        <f t="shared" si="20"/>
        <v>0</v>
      </c>
      <c r="X66" s="147">
        <f t="shared" si="20"/>
        <v>0</v>
      </c>
      <c r="Y66" s="147">
        <f t="shared" si="20"/>
        <v>0</v>
      </c>
      <c r="Z66" s="147">
        <f t="shared" si="20"/>
        <v>0</v>
      </c>
      <c r="AA66" s="147">
        <f t="shared" si="20"/>
        <v>0</v>
      </c>
      <c r="AB66" s="147">
        <f t="shared" si="20"/>
        <v>0</v>
      </c>
      <c r="AC66" s="147">
        <f t="shared" si="20"/>
        <v>0</v>
      </c>
      <c r="AD66" s="147">
        <f t="shared" si="20"/>
        <v>0</v>
      </c>
      <c r="AE66" s="147">
        <f t="shared" si="20"/>
        <v>0</v>
      </c>
      <c r="AF66" s="147">
        <f t="shared" si="20"/>
        <v>0</v>
      </c>
      <c r="AG66" s="147">
        <f t="shared" si="20"/>
        <v>0</v>
      </c>
      <c r="AH66" s="147">
        <f t="shared" si="20"/>
        <v>0</v>
      </c>
      <c r="AI66" s="147">
        <f t="shared" si="20"/>
        <v>0</v>
      </c>
      <c r="AJ66" s="147">
        <f t="shared" si="20"/>
        <v>0</v>
      </c>
      <c r="AK66" s="147">
        <f t="shared" si="20"/>
        <v>0</v>
      </c>
      <c r="AL66" s="147">
        <f t="shared" si="20"/>
        <v>940000</v>
      </c>
      <c r="AM66" s="147">
        <f t="shared" si="20"/>
        <v>1504000</v>
      </c>
      <c r="AN66" s="147">
        <f t="shared" si="20"/>
        <v>1692000</v>
      </c>
      <c r="AO66" s="147">
        <f t="shared" si="20"/>
        <v>2444000</v>
      </c>
      <c r="AP66" s="147">
        <f t="shared" si="20"/>
        <v>2632000</v>
      </c>
      <c r="AQ66" s="147">
        <f t="shared" si="20"/>
        <v>2631997</v>
      </c>
      <c r="AR66" s="147">
        <f t="shared" si="20"/>
        <v>2636768</v>
      </c>
      <c r="AS66" s="147">
        <f t="shared" si="20"/>
        <v>3712644</v>
      </c>
      <c r="AT66" s="147">
        <f t="shared" si="20"/>
        <v>3267614</v>
      </c>
      <c r="AU66" s="147">
        <f t="shared" si="20"/>
        <v>2875101</v>
      </c>
      <c r="AV66" s="147">
        <f t="shared" si="20"/>
        <v>3194792</v>
      </c>
      <c r="AW66" s="147">
        <f t="shared" si="20"/>
        <v>3830385</v>
      </c>
    </row>
    <row r="67" spans="1:49" ht="15">
      <c r="A67" s="145" t="s">
        <v>284</v>
      </c>
      <c r="B67" s="146" t="s">
        <v>74</v>
      </c>
      <c r="C67" s="147">
        <f t="shared" si="20"/>
        <v>0</v>
      </c>
      <c r="D67" s="147">
        <f t="shared" si="20"/>
        <v>0</v>
      </c>
      <c r="E67" s="147">
        <f t="shared" si="20"/>
        <v>0</v>
      </c>
      <c r="F67" s="147">
        <f t="shared" si="20"/>
        <v>0</v>
      </c>
      <c r="G67" s="147">
        <f t="shared" si="20"/>
        <v>0</v>
      </c>
      <c r="H67" s="147">
        <f t="shared" si="20"/>
        <v>0</v>
      </c>
      <c r="I67" s="147">
        <f t="shared" si="20"/>
        <v>0</v>
      </c>
      <c r="J67" s="147">
        <f t="shared" si="20"/>
        <v>0</v>
      </c>
      <c r="K67" s="147">
        <f t="shared" si="20"/>
        <v>0</v>
      </c>
      <c r="L67" s="147">
        <f t="shared" si="20"/>
        <v>0</v>
      </c>
      <c r="M67" s="147">
        <f t="shared" si="20"/>
        <v>0</v>
      </c>
      <c r="N67" s="147">
        <f t="shared" si="20"/>
        <v>0</v>
      </c>
      <c r="O67" s="147">
        <f t="shared" si="20"/>
        <v>0</v>
      </c>
      <c r="P67" s="147">
        <f t="shared" si="20"/>
        <v>0</v>
      </c>
      <c r="Q67" s="147">
        <f t="shared" si="20"/>
        <v>0</v>
      </c>
      <c r="R67" s="147">
        <f t="shared" si="20"/>
        <v>0</v>
      </c>
      <c r="S67" s="147">
        <f t="shared" si="20"/>
        <v>0</v>
      </c>
      <c r="T67" s="147">
        <f t="shared" si="20"/>
        <v>0</v>
      </c>
      <c r="U67" s="147">
        <f t="shared" si="20"/>
        <v>0</v>
      </c>
      <c r="V67" s="147">
        <f t="shared" si="20"/>
        <v>0</v>
      </c>
      <c r="W67" s="147">
        <f t="shared" ref="W67:AW67" si="21">W31-W48</f>
        <v>0</v>
      </c>
      <c r="X67" s="147">
        <f t="shared" si="21"/>
        <v>0</v>
      </c>
      <c r="Y67" s="147">
        <f t="shared" si="21"/>
        <v>0</v>
      </c>
      <c r="Z67" s="147">
        <f t="shared" si="21"/>
        <v>0</v>
      </c>
      <c r="AA67" s="147">
        <f t="shared" si="21"/>
        <v>0</v>
      </c>
      <c r="AB67" s="147">
        <f t="shared" si="21"/>
        <v>0</v>
      </c>
      <c r="AC67" s="147">
        <f t="shared" si="21"/>
        <v>0</v>
      </c>
      <c r="AD67" s="147">
        <f t="shared" si="21"/>
        <v>0</v>
      </c>
      <c r="AE67" s="147">
        <f t="shared" si="21"/>
        <v>-2824</v>
      </c>
      <c r="AF67" s="147">
        <f t="shared" si="21"/>
        <v>-2848</v>
      </c>
      <c r="AG67" s="147">
        <f t="shared" si="21"/>
        <v>-1199</v>
      </c>
      <c r="AH67" s="147">
        <f t="shared" si="21"/>
        <v>-8721</v>
      </c>
      <c r="AI67" s="147">
        <f t="shared" si="21"/>
        <v>-7725</v>
      </c>
      <c r="AJ67" s="147">
        <f t="shared" si="21"/>
        <v>-4955</v>
      </c>
      <c r="AK67" s="147">
        <f t="shared" si="21"/>
        <v>-5460</v>
      </c>
      <c r="AL67" s="147">
        <f t="shared" si="21"/>
        <v>-9186</v>
      </c>
      <c r="AM67" s="147">
        <f t="shared" si="21"/>
        <v>-8423</v>
      </c>
      <c r="AN67" s="147">
        <f t="shared" si="21"/>
        <v>-47522</v>
      </c>
      <c r="AO67" s="147">
        <f t="shared" si="21"/>
        <v>-45835</v>
      </c>
      <c r="AP67" s="147">
        <f t="shared" si="21"/>
        <v>-23236</v>
      </c>
      <c r="AQ67" s="147">
        <f t="shared" si="21"/>
        <v>-23237</v>
      </c>
      <c r="AR67" s="147">
        <f t="shared" si="21"/>
        <v>0</v>
      </c>
      <c r="AS67" s="147">
        <f t="shared" si="21"/>
        <v>0</v>
      </c>
      <c r="AT67" s="147">
        <f t="shared" si="21"/>
        <v>0</v>
      </c>
      <c r="AU67" s="147">
        <f t="shared" si="21"/>
        <v>0</v>
      </c>
      <c r="AV67" s="147">
        <f t="shared" si="21"/>
        <v>0</v>
      </c>
      <c r="AW67" s="147">
        <f t="shared" si="21"/>
        <v>0</v>
      </c>
    </row>
    <row r="68" spans="1:49" ht="15">
      <c r="A68" s="145" t="s">
        <v>284</v>
      </c>
      <c r="B68" s="146" t="s">
        <v>266</v>
      </c>
      <c r="C68" s="187">
        <f t="shared" ref="C68:AW69" si="22">C32-C49</f>
        <v>-397650</v>
      </c>
      <c r="D68" s="147">
        <f t="shared" si="22"/>
        <v>-432699</v>
      </c>
      <c r="E68" s="147">
        <f t="shared" si="22"/>
        <v>-476143</v>
      </c>
      <c r="F68" s="147">
        <f t="shared" si="22"/>
        <v>-530132</v>
      </c>
      <c r="G68" s="147">
        <f t="shared" si="22"/>
        <v>-593411</v>
      </c>
      <c r="H68" s="147">
        <f t="shared" si="22"/>
        <v>-643437</v>
      </c>
      <c r="I68" s="147">
        <f t="shared" si="22"/>
        <v>-685084</v>
      </c>
      <c r="J68" s="147">
        <f t="shared" si="22"/>
        <v>-736411</v>
      </c>
      <c r="K68" s="147">
        <f t="shared" si="22"/>
        <v>-731086</v>
      </c>
      <c r="L68" s="147">
        <f t="shared" si="22"/>
        <v>-686570</v>
      </c>
      <c r="M68" s="147">
        <f t="shared" si="22"/>
        <v>-613406</v>
      </c>
      <c r="N68" s="147">
        <f t="shared" si="22"/>
        <v>-594418</v>
      </c>
      <c r="O68" s="147">
        <f t="shared" si="22"/>
        <v>-639873</v>
      </c>
      <c r="P68" s="147">
        <f t="shared" si="22"/>
        <v>-625981</v>
      </c>
      <c r="Q68" s="147">
        <f t="shared" si="22"/>
        <v>-647706</v>
      </c>
      <c r="R68" s="147">
        <f t="shared" si="22"/>
        <v>-763354</v>
      </c>
      <c r="S68" s="147">
        <f t="shared" si="22"/>
        <v>-759288</v>
      </c>
      <c r="T68" s="147">
        <f t="shared" si="22"/>
        <v>-783722</v>
      </c>
      <c r="U68" s="147">
        <f t="shared" si="22"/>
        <v>-785727</v>
      </c>
      <c r="V68" s="147">
        <f t="shared" si="22"/>
        <v>-767902</v>
      </c>
      <c r="W68" s="147">
        <f t="shared" si="22"/>
        <v>-911578</v>
      </c>
      <c r="X68" s="147">
        <f t="shared" si="22"/>
        <v>-909734</v>
      </c>
      <c r="Y68" s="147">
        <f t="shared" si="22"/>
        <v>-857186</v>
      </c>
      <c r="Z68" s="147">
        <f t="shared" si="22"/>
        <v>-844713</v>
      </c>
      <c r="AA68" s="147">
        <f t="shared" si="22"/>
        <v>-891592</v>
      </c>
      <c r="AB68" s="147">
        <f t="shared" si="22"/>
        <v>-1096782</v>
      </c>
      <c r="AC68" s="147">
        <f t="shared" si="22"/>
        <v>-1163069</v>
      </c>
      <c r="AD68" s="147">
        <f t="shared" si="22"/>
        <v>-1103643</v>
      </c>
      <c r="AE68" s="147">
        <f t="shared" si="22"/>
        <v>-1200480</v>
      </c>
      <c r="AF68" s="147">
        <f t="shared" si="22"/>
        <v>-1178367</v>
      </c>
      <c r="AG68" s="147">
        <f t="shared" si="22"/>
        <v>-1231778</v>
      </c>
      <c r="AH68" s="147">
        <f t="shared" si="22"/>
        <v>-1027529</v>
      </c>
      <c r="AI68" s="147">
        <f t="shared" si="22"/>
        <v>-905799</v>
      </c>
      <c r="AJ68" s="147">
        <f t="shared" si="22"/>
        <v>-977882</v>
      </c>
      <c r="AK68" s="147">
        <f t="shared" si="22"/>
        <v>-756137</v>
      </c>
      <c r="AL68" s="147">
        <f t="shared" si="22"/>
        <v>-555652</v>
      </c>
      <c r="AM68" s="147">
        <f t="shared" si="22"/>
        <v>-565485</v>
      </c>
      <c r="AN68" s="147">
        <f t="shared" si="22"/>
        <v>-904276</v>
      </c>
      <c r="AO68" s="147">
        <f t="shared" si="22"/>
        <v>-922446</v>
      </c>
      <c r="AP68" s="147">
        <f t="shared" si="22"/>
        <v>-644273</v>
      </c>
      <c r="AQ68" s="147">
        <f t="shared" si="22"/>
        <v>-781406</v>
      </c>
      <c r="AR68" s="147">
        <f t="shared" si="22"/>
        <v>-1101084</v>
      </c>
      <c r="AS68" s="147">
        <f t="shared" si="22"/>
        <v>-1285842</v>
      </c>
      <c r="AT68" s="147">
        <f t="shared" si="22"/>
        <v>-1153932</v>
      </c>
      <c r="AU68" s="147">
        <f t="shared" si="22"/>
        <v>-1169936</v>
      </c>
      <c r="AV68" s="147">
        <f t="shared" si="22"/>
        <v>-1056349</v>
      </c>
      <c r="AW68" s="147">
        <f t="shared" si="22"/>
        <v>-1074112</v>
      </c>
    </row>
    <row r="69" spans="1:49" ht="15.75" thickBot="1">
      <c r="A69" s="165" t="s">
        <v>284</v>
      </c>
      <c r="B69" s="166" t="s">
        <v>267</v>
      </c>
      <c r="C69" s="188">
        <f t="shared" si="22"/>
        <v>-2278</v>
      </c>
      <c r="D69" s="189">
        <f t="shared" si="22"/>
        <v>-2479</v>
      </c>
      <c r="E69" s="189">
        <f t="shared" si="22"/>
        <v>-3063</v>
      </c>
      <c r="F69" s="189">
        <f t="shared" si="22"/>
        <v>-4198</v>
      </c>
      <c r="G69" s="189">
        <f t="shared" si="22"/>
        <v>-4495</v>
      </c>
      <c r="H69" s="189">
        <f t="shared" si="22"/>
        <v>-4899</v>
      </c>
      <c r="I69" s="189">
        <f t="shared" si="22"/>
        <v>-5362</v>
      </c>
      <c r="J69" s="189">
        <f t="shared" si="22"/>
        <v>-5639</v>
      </c>
      <c r="K69" s="189">
        <f t="shared" si="22"/>
        <v>-5838</v>
      </c>
      <c r="L69" s="189">
        <f t="shared" si="22"/>
        <v>-5961</v>
      </c>
      <c r="M69" s="189">
        <f t="shared" si="22"/>
        <v>-5173</v>
      </c>
      <c r="N69" s="189">
        <f t="shared" si="22"/>
        <v>-5701</v>
      </c>
      <c r="O69" s="189">
        <f t="shared" si="22"/>
        <v>-5536</v>
      </c>
      <c r="P69" s="189">
        <f t="shared" si="22"/>
        <v>-5388</v>
      </c>
      <c r="Q69" s="189">
        <f t="shared" si="22"/>
        <v>0</v>
      </c>
      <c r="R69" s="189">
        <f t="shared" si="22"/>
        <v>0</v>
      </c>
      <c r="S69" s="189">
        <f t="shared" si="22"/>
        <v>-294559</v>
      </c>
      <c r="T69" s="189">
        <f t="shared" si="22"/>
        <v>-446939</v>
      </c>
      <c r="U69" s="189">
        <f t="shared" si="22"/>
        <v>-459885</v>
      </c>
      <c r="V69" s="189">
        <f t="shared" si="22"/>
        <v>-439145</v>
      </c>
      <c r="W69" s="189">
        <f t="shared" si="22"/>
        <v>-335697</v>
      </c>
      <c r="X69" s="189">
        <f t="shared" si="22"/>
        <v>-362024</v>
      </c>
      <c r="Y69" s="189">
        <f t="shared" si="22"/>
        <v>-405850</v>
      </c>
      <c r="Z69" s="189">
        <f t="shared" si="22"/>
        <v>-416804</v>
      </c>
      <c r="AA69" s="189">
        <f t="shared" si="22"/>
        <v>-427758</v>
      </c>
      <c r="AB69" s="189">
        <f t="shared" si="22"/>
        <v>-387197</v>
      </c>
      <c r="AC69" s="189">
        <f t="shared" si="22"/>
        <v>-346636</v>
      </c>
      <c r="AD69" s="189">
        <f t="shared" si="22"/>
        <v>-306075</v>
      </c>
      <c r="AE69" s="189">
        <f t="shared" si="22"/>
        <v>-351620</v>
      </c>
      <c r="AF69" s="189">
        <f t="shared" si="22"/>
        <v>-380457</v>
      </c>
      <c r="AG69" s="189">
        <f t="shared" si="22"/>
        <v>-318666</v>
      </c>
      <c r="AH69" s="189">
        <f t="shared" si="22"/>
        <v>-256816</v>
      </c>
      <c r="AI69" s="189">
        <f t="shared" si="22"/>
        <v>-222847</v>
      </c>
      <c r="AJ69" s="189">
        <f t="shared" si="22"/>
        <v>-299190</v>
      </c>
      <c r="AK69" s="189">
        <f t="shared" si="22"/>
        <v>-275371</v>
      </c>
      <c r="AL69" s="189">
        <f t="shared" si="22"/>
        <v>-252295</v>
      </c>
      <c r="AM69" s="189">
        <f t="shared" si="22"/>
        <v>-252295</v>
      </c>
      <c r="AN69" s="189">
        <f t="shared" si="22"/>
        <v>-260862</v>
      </c>
      <c r="AO69" s="189">
        <f t="shared" si="22"/>
        <v>-247819</v>
      </c>
      <c r="AP69" s="189">
        <f t="shared" si="22"/>
        <v>-354806</v>
      </c>
      <c r="AQ69" s="189">
        <f t="shared" si="22"/>
        <v>-367693</v>
      </c>
      <c r="AR69" s="189">
        <f t="shared" si="22"/>
        <v>-404977</v>
      </c>
      <c r="AS69" s="189">
        <f t="shared" si="22"/>
        <v>-585757</v>
      </c>
      <c r="AT69" s="189">
        <f t="shared" si="22"/>
        <v>-585699</v>
      </c>
      <c r="AU69" s="189">
        <f t="shared" si="22"/>
        <v>-583942</v>
      </c>
      <c r="AV69" s="189">
        <f t="shared" si="22"/>
        <v>-558832</v>
      </c>
      <c r="AW69" s="189">
        <f t="shared" si="22"/>
        <v>-558832</v>
      </c>
    </row>
    <row r="70" spans="1:49" ht="13.5" thickTop="1"/>
    <row r="72" spans="1:49" ht="15.75" thickBot="1">
      <c r="A72" s="127" t="s">
        <v>292</v>
      </c>
    </row>
    <row r="73" spans="1:49" ht="31.5" thickTop="1" thickBot="1">
      <c r="A73" s="140" t="s">
        <v>140</v>
      </c>
      <c r="B73" s="141" t="s">
        <v>141</v>
      </c>
      <c r="C73" s="142">
        <v>1966</v>
      </c>
      <c r="D73" s="143">
        <v>1967</v>
      </c>
      <c r="E73" s="143">
        <v>1968</v>
      </c>
      <c r="F73" s="143">
        <v>1969</v>
      </c>
      <c r="G73" s="143">
        <v>1970</v>
      </c>
      <c r="H73" s="143">
        <v>1971</v>
      </c>
      <c r="I73" s="143">
        <v>1972</v>
      </c>
      <c r="J73" s="143">
        <v>1973</v>
      </c>
      <c r="K73" s="143">
        <v>1974</v>
      </c>
      <c r="L73" s="143">
        <v>1975</v>
      </c>
      <c r="M73" s="143">
        <v>1976</v>
      </c>
      <c r="N73" s="143">
        <v>1977</v>
      </c>
      <c r="O73" s="143">
        <v>1978</v>
      </c>
      <c r="P73" s="143">
        <v>1979</v>
      </c>
      <c r="Q73" s="143">
        <v>1980</v>
      </c>
      <c r="R73" s="143">
        <v>1981</v>
      </c>
      <c r="S73" s="143">
        <v>1982</v>
      </c>
      <c r="T73" s="143">
        <v>1983</v>
      </c>
      <c r="U73" s="143">
        <v>1984</v>
      </c>
      <c r="V73" s="143">
        <v>1985</v>
      </c>
      <c r="W73" s="143">
        <v>1986</v>
      </c>
      <c r="X73" s="143">
        <v>1987</v>
      </c>
      <c r="Y73" s="143">
        <v>1988</v>
      </c>
      <c r="Z73" s="143">
        <v>1989</v>
      </c>
      <c r="AA73" s="143">
        <v>1990</v>
      </c>
      <c r="AB73" s="143">
        <v>1991</v>
      </c>
      <c r="AC73" s="143">
        <v>1992</v>
      </c>
      <c r="AD73" s="143">
        <v>1993</v>
      </c>
      <c r="AE73" s="143">
        <v>1994</v>
      </c>
      <c r="AF73" s="143">
        <v>1995</v>
      </c>
      <c r="AG73" s="143">
        <v>1996</v>
      </c>
      <c r="AH73" s="143">
        <v>1997</v>
      </c>
      <c r="AI73" s="143">
        <v>1998</v>
      </c>
      <c r="AJ73" s="143">
        <v>1999</v>
      </c>
      <c r="AK73" s="143">
        <v>2000</v>
      </c>
      <c r="AL73" s="143">
        <v>2001</v>
      </c>
      <c r="AM73" s="143">
        <v>2002</v>
      </c>
      <c r="AN73" s="143">
        <v>2003</v>
      </c>
      <c r="AO73" s="143">
        <v>2004</v>
      </c>
      <c r="AP73" s="143">
        <v>2005</v>
      </c>
      <c r="AQ73" s="143">
        <v>2006</v>
      </c>
      <c r="AR73" s="143">
        <v>2007</v>
      </c>
      <c r="AS73" s="143">
        <v>2008</v>
      </c>
      <c r="AT73" s="143">
        <v>2009</v>
      </c>
      <c r="AU73" s="143">
        <v>2010</v>
      </c>
      <c r="AV73" s="143">
        <v>2011</v>
      </c>
      <c r="AW73" s="144">
        <v>2012</v>
      </c>
    </row>
    <row r="74" spans="1:49" ht="15">
      <c r="A74" s="175" t="s">
        <v>284</v>
      </c>
      <c r="B74" s="156" t="s">
        <v>260</v>
      </c>
      <c r="C74" s="176">
        <f>-C56</f>
        <v>185997985</v>
      </c>
      <c r="D74" s="176">
        <f t="shared" ref="D74:AW75" si="23">-D56</f>
        <v>273247012</v>
      </c>
      <c r="E74" s="176">
        <f t="shared" si="23"/>
        <v>282278379</v>
      </c>
      <c r="F74" s="176">
        <f t="shared" si="23"/>
        <v>382445493</v>
      </c>
      <c r="G74" s="176">
        <f t="shared" si="23"/>
        <v>417950029</v>
      </c>
      <c r="H74" s="176">
        <f t="shared" si="23"/>
        <v>426965749</v>
      </c>
      <c r="I74" s="176">
        <f t="shared" si="23"/>
        <v>405622181</v>
      </c>
      <c r="J74" s="176">
        <f t="shared" si="23"/>
        <v>419941430</v>
      </c>
      <c r="K74" s="176">
        <f t="shared" si="23"/>
        <v>395445381</v>
      </c>
      <c r="L74" s="176">
        <f t="shared" si="23"/>
        <v>334381256</v>
      </c>
      <c r="M74" s="176">
        <f t="shared" si="23"/>
        <v>326893057</v>
      </c>
      <c r="N74" s="176">
        <f t="shared" si="23"/>
        <v>323173307</v>
      </c>
      <c r="O74" s="176">
        <f t="shared" si="23"/>
        <v>334801625</v>
      </c>
      <c r="P74" s="176">
        <f t="shared" si="23"/>
        <v>356687766</v>
      </c>
      <c r="Q74" s="176">
        <f t="shared" si="23"/>
        <v>271367717</v>
      </c>
      <c r="R74" s="176">
        <f t="shared" si="23"/>
        <v>244655971</v>
      </c>
      <c r="S74" s="176">
        <f t="shared" si="23"/>
        <v>219934312</v>
      </c>
      <c r="T74" s="176">
        <f t="shared" si="23"/>
        <v>266041514</v>
      </c>
      <c r="U74" s="176">
        <f t="shared" si="23"/>
        <v>287567570</v>
      </c>
      <c r="V74" s="176">
        <f t="shared" si="23"/>
        <v>279743964</v>
      </c>
      <c r="W74" s="176">
        <f t="shared" si="23"/>
        <v>304432563</v>
      </c>
      <c r="X74" s="176">
        <f t="shared" si="23"/>
        <v>296960845</v>
      </c>
      <c r="Y74" s="176">
        <f t="shared" si="23"/>
        <v>310890390</v>
      </c>
      <c r="Z74" s="176">
        <f t="shared" si="23"/>
        <v>323131975</v>
      </c>
      <c r="AA74" s="176">
        <f t="shared" si="23"/>
        <v>308682005</v>
      </c>
      <c r="AB74" s="176">
        <f t="shared" si="23"/>
        <v>331394770</v>
      </c>
      <c r="AC74" s="176">
        <f t="shared" si="23"/>
        <v>355454908</v>
      </c>
      <c r="AD74" s="176">
        <f t="shared" si="23"/>
        <v>356795000</v>
      </c>
      <c r="AE74" s="176">
        <f t="shared" si="23"/>
        <v>365356400</v>
      </c>
      <c r="AF74" s="176">
        <f t="shared" si="23"/>
        <v>412022100</v>
      </c>
      <c r="AG74" s="176">
        <f t="shared" si="23"/>
        <v>448338000</v>
      </c>
      <c r="AH74" s="176">
        <f t="shared" si="23"/>
        <v>365090511</v>
      </c>
      <c r="AI74" s="176">
        <f t="shared" si="23"/>
        <v>340314599</v>
      </c>
      <c r="AJ74" s="176">
        <f t="shared" si="23"/>
        <v>339203135</v>
      </c>
      <c r="AK74" s="176">
        <f t="shared" si="23"/>
        <v>346270013</v>
      </c>
      <c r="AL74" s="176">
        <f t="shared" si="23"/>
        <v>343914817</v>
      </c>
      <c r="AM74" s="176">
        <f t="shared" si="23"/>
        <v>333095071</v>
      </c>
      <c r="AN74" s="176">
        <f t="shared" si="23"/>
        <v>352220912</v>
      </c>
      <c r="AO74" s="176">
        <f t="shared" si="23"/>
        <v>344651751</v>
      </c>
      <c r="AP74" s="176">
        <f t="shared" si="23"/>
        <v>332180848</v>
      </c>
      <c r="AQ74" s="176">
        <f t="shared" si="23"/>
        <v>343530612</v>
      </c>
      <c r="AR74" s="176">
        <f t="shared" si="23"/>
        <v>333386568</v>
      </c>
      <c r="AS74" s="176">
        <f t="shared" si="23"/>
        <v>334639330</v>
      </c>
      <c r="AT74" s="176">
        <f t="shared" si="23"/>
        <v>335634780</v>
      </c>
      <c r="AU74" s="176">
        <f t="shared" si="23"/>
        <v>314168191</v>
      </c>
      <c r="AV74" s="176">
        <f t="shared" si="23"/>
        <v>327286287</v>
      </c>
      <c r="AW74" s="176">
        <f t="shared" si="23"/>
        <v>362386542</v>
      </c>
    </row>
    <row r="75" spans="1:49" ht="15">
      <c r="A75" s="175" t="s">
        <v>284</v>
      </c>
      <c r="B75" s="156" t="s">
        <v>261</v>
      </c>
      <c r="C75" s="176">
        <f>-C57</f>
        <v>0</v>
      </c>
      <c r="D75" s="176">
        <f t="shared" si="23"/>
        <v>0</v>
      </c>
      <c r="E75" s="176">
        <f t="shared" si="23"/>
        <v>0</v>
      </c>
      <c r="F75" s="176">
        <f t="shared" si="23"/>
        <v>0</v>
      </c>
      <c r="G75" s="176">
        <f t="shared" si="23"/>
        <v>0</v>
      </c>
      <c r="H75" s="176">
        <f t="shared" si="23"/>
        <v>0</v>
      </c>
      <c r="I75" s="176">
        <f t="shared" si="23"/>
        <v>0</v>
      </c>
      <c r="J75" s="176">
        <f t="shared" si="23"/>
        <v>0</v>
      </c>
      <c r="K75" s="176">
        <f t="shared" si="23"/>
        <v>-3457958</v>
      </c>
      <c r="L75" s="176">
        <f t="shared" si="23"/>
        <v>-7614121</v>
      </c>
      <c r="M75" s="176">
        <f t="shared" si="23"/>
        <v>6238156</v>
      </c>
      <c r="N75" s="176">
        <f t="shared" si="23"/>
        <v>-5426302</v>
      </c>
      <c r="O75" s="176">
        <f t="shared" si="23"/>
        <v>-8224462</v>
      </c>
      <c r="P75" s="176">
        <f t="shared" si="23"/>
        <v>-2400635</v>
      </c>
      <c r="Q75" s="176">
        <f t="shared" si="23"/>
        <v>23622270</v>
      </c>
      <c r="R75" s="176">
        <f t="shared" si="23"/>
        <v>14693192</v>
      </c>
      <c r="S75" s="176">
        <f t="shared" si="23"/>
        <v>33676426</v>
      </c>
      <c r="T75" s="176">
        <f t="shared" si="23"/>
        <v>27651458</v>
      </c>
      <c r="U75" s="176">
        <f t="shared" si="23"/>
        <v>23113835</v>
      </c>
      <c r="V75" s="176">
        <f t="shared" si="23"/>
        <v>17504277</v>
      </c>
      <c r="W75" s="176">
        <f t="shared" si="23"/>
        <v>25215094</v>
      </c>
      <c r="X75" s="176">
        <f t="shared" si="23"/>
        <v>26158943</v>
      </c>
      <c r="Y75" s="176">
        <f t="shared" si="23"/>
        <v>30378383</v>
      </c>
      <c r="Z75" s="176">
        <f t="shared" si="23"/>
        <v>34123962</v>
      </c>
      <c r="AA75" s="176">
        <f t="shared" si="23"/>
        <v>26874299</v>
      </c>
      <c r="AB75" s="176">
        <f t="shared" si="23"/>
        <v>16785219</v>
      </c>
      <c r="AC75" s="176">
        <f t="shared" si="23"/>
        <v>7427491</v>
      </c>
      <c r="AD75" s="176">
        <f t="shared" si="23"/>
        <v>22531702</v>
      </c>
      <c r="AE75" s="176">
        <f t="shared" si="23"/>
        <v>11718613</v>
      </c>
      <c r="AF75" s="176">
        <f t="shared" si="23"/>
        <v>-2452088</v>
      </c>
      <c r="AG75" s="176">
        <f t="shared" si="23"/>
        <v>4375488</v>
      </c>
      <c r="AH75" s="176">
        <f t="shared" si="23"/>
        <v>3270427</v>
      </c>
      <c r="AI75" s="176">
        <f t="shared" si="23"/>
        <v>968768</v>
      </c>
      <c r="AJ75" s="176">
        <f t="shared" si="23"/>
        <v>8817156</v>
      </c>
      <c r="AK75" s="176">
        <f t="shared" si="23"/>
        <v>5113752</v>
      </c>
      <c r="AL75" s="176">
        <f t="shared" si="23"/>
        <v>2322437</v>
      </c>
      <c r="AM75" s="176">
        <f t="shared" si="23"/>
        <v>2161479</v>
      </c>
      <c r="AN75" s="176">
        <f t="shared" si="23"/>
        <v>1990228</v>
      </c>
      <c r="AO75" s="176">
        <f t="shared" si="23"/>
        <v>196701</v>
      </c>
      <c r="AP75" s="176">
        <f t="shared" si="23"/>
        <v>2357523</v>
      </c>
      <c r="AQ75" s="176">
        <f t="shared" si="23"/>
        <v>3397029</v>
      </c>
      <c r="AR75" s="176">
        <f t="shared" si="23"/>
        <v>645244</v>
      </c>
      <c r="AS75" s="176">
        <f t="shared" si="23"/>
        <v>482422</v>
      </c>
      <c r="AT75" s="176">
        <f t="shared" si="23"/>
        <v>1317982</v>
      </c>
      <c r="AU75" s="176">
        <f t="shared" si="23"/>
        <v>2073495</v>
      </c>
      <c r="AV75" s="176">
        <f t="shared" si="23"/>
        <v>2408184</v>
      </c>
      <c r="AW75" s="176">
        <f t="shared" si="23"/>
        <v>735379</v>
      </c>
    </row>
    <row r="76" spans="1:49" ht="15">
      <c r="A76" s="190" t="s">
        <v>284</v>
      </c>
      <c r="B76" s="191" t="s">
        <v>262</v>
      </c>
      <c r="C76" s="192"/>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4"/>
    </row>
    <row r="77" spans="1:49" ht="15">
      <c r="A77" s="145" t="s">
        <v>284</v>
      </c>
      <c r="B77" s="146" t="s">
        <v>79</v>
      </c>
      <c r="C77" s="147"/>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9"/>
    </row>
    <row r="78" spans="1:49" ht="15">
      <c r="A78" s="145" t="s">
        <v>284</v>
      </c>
      <c r="B78" s="146" t="s">
        <v>104</v>
      </c>
      <c r="C78" s="147"/>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9"/>
    </row>
    <row r="79" spans="1:49" ht="15">
      <c r="A79" s="145" t="s">
        <v>284</v>
      </c>
      <c r="B79" s="146" t="s">
        <v>81</v>
      </c>
      <c r="C79" s="147"/>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9"/>
    </row>
    <row r="80" spans="1:49" ht="15">
      <c r="A80" s="145" t="s">
        <v>284</v>
      </c>
      <c r="B80" s="146" t="s">
        <v>100</v>
      </c>
      <c r="C80" s="147"/>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9"/>
    </row>
    <row r="81" spans="1:54" ht="15">
      <c r="A81" s="145" t="s">
        <v>284</v>
      </c>
      <c r="B81" s="146" t="s">
        <v>51</v>
      </c>
      <c r="C81" s="147"/>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9"/>
      <c r="AX81" s="164">
        <f t="shared" ref="AX81:AX94" si="24">SUM(C20:AW20)</f>
        <v>0</v>
      </c>
      <c r="AZ81" s="195" t="str">
        <f>Commodities!$D$25</f>
        <v>LPG</v>
      </c>
      <c r="BA81" s="196" t="s">
        <v>97</v>
      </c>
      <c r="BB81" s="196" t="s">
        <v>98</v>
      </c>
    </row>
    <row r="82" spans="1:54" ht="15">
      <c r="A82" s="145" t="s">
        <v>284</v>
      </c>
      <c r="B82" s="146" t="s">
        <v>263</v>
      </c>
      <c r="C82" s="147"/>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9"/>
      <c r="AX82" s="164">
        <f t="shared" si="24"/>
        <v>114809412</v>
      </c>
      <c r="AZ82" s="195" t="str">
        <f>Commodities!$D$27</f>
        <v>GSL</v>
      </c>
      <c r="BA82" s="197" t="s">
        <v>104</v>
      </c>
      <c r="BB82" s="197" t="s">
        <v>293</v>
      </c>
    </row>
    <row r="83" spans="1:54" ht="15">
      <c r="A83" s="145" t="s">
        <v>284</v>
      </c>
      <c r="B83" s="146" t="s">
        <v>264</v>
      </c>
      <c r="C83" s="147"/>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9"/>
      <c r="AX83" s="164">
        <f t="shared" si="24"/>
        <v>569513581</v>
      </c>
      <c r="AZ83" s="195" t="str">
        <f>Commodities!$D$28</f>
        <v>KER</v>
      </c>
      <c r="BA83" s="198" t="s">
        <v>101</v>
      </c>
      <c r="BB83" s="199" t="s">
        <v>99</v>
      </c>
    </row>
    <row r="84" spans="1:54" ht="15">
      <c r="A84" s="145" t="s">
        <v>284</v>
      </c>
      <c r="B84" s="146" t="s">
        <v>265</v>
      </c>
      <c r="C84" s="147"/>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9"/>
      <c r="AX84" s="164">
        <f t="shared" si="24"/>
        <v>342703860</v>
      </c>
      <c r="AZ84" s="195" t="str">
        <f>Commodities!$D$32</f>
        <v>KRB1</v>
      </c>
      <c r="BA84" s="197" t="s">
        <v>79</v>
      </c>
      <c r="BB84" s="197" t="s">
        <v>79</v>
      </c>
    </row>
    <row r="85" spans="1:54" ht="15">
      <c r="A85" s="145" t="s">
        <v>284</v>
      </c>
      <c r="B85" s="146" t="s">
        <v>74</v>
      </c>
      <c r="C85" s="147"/>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9"/>
      <c r="AX85" s="164">
        <f t="shared" si="24"/>
        <v>494194739</v>
      </c>
      <c r="AZ85" s="195" t="str">
        <f>Commodities!$D$29</f>
        <v>DSL</v>
      </c>
      <c r="BA85" s="197" t="s">
        <v>80</v>
      </c>
      <c r="BB85" s="197" t="s">
        <v>81</v>
      </c>
    </row>
    <row r="86" spans="1:54" ht="15">
      <c r="A86" s="175" t="s">
        <v>284</v>
      </c>
      <c r="B86" s="156" t="s">
        <v>266</v>
      </c>
      <c r="C86" s="176">
        <f>-C68</f>
        <v>397650</v>
      </c>
      <c r="D86" s="176">
        <f t="shared" ref="D86:AW87" si="25">-D68</f>
        <v>432699</v>
      </c>
      <c r="E86" s="176">
        <f t="shared" si="25"/>
        <v>476143</v>
      </c>
      <c r="F86" s="176">
        <f t="shared" si="25"/>
        <v>530132</v>
      </c>
      <c r="G86" s="176">
        <f t="shared" si="25"/>
        <v>593411</v>
      </c>
      <c r="H86" s="176">
        <f t="shared" si="25"/>
        <v>643437</v>
      </c>
      <c r="I86" s="176">
        <f t="shared" si="25"/>
        <v>685084</v>
      </c>
      <c r="J86" s="176">
        <f t="shared" si="25"/>
        <v>736411</v>
      </c>
      <c r="K86" s="176">
        <f t="shared" si="25"/>
        <v>731086</v>
      </c>
      <c r="L86" s="176">
        <f t="shared" si="25"/>
        <v>686570</v>
      </c>
      <c r="M86" s="176">
        <f t="shared" si="25"/>
        <v>613406</v>
      </c>
      <c r="N86" s="176">
        <f t="shared" si="25"/>
        <v>594418</v>
      </c>
      <c r="O86" s="176">
        <f t="shared" si="25"/>
        <v>639873</v>
      </c>
      <c r="P86" s="176">
        <f t="shared" si="25"/>
        <v>625981</v>
      </c>
      <c r="Q86" s="176">
        <f t="shared" si="25"/>
        <v>647706</v>
      </c>
      <c r="R86" s="176">
        <f t="shared" si="25"/>
        <v>763354</v>
      </c>
      <c r="S86" s="176">
        <f t="shared" si="25"/>
        <v>759288</v>
      </c>
      <c r="T86" s="176">
        <f t="shared" si="25"/>
        <v>783722</v>
      </c>
      <c r="U86" s="176">
        <f t="shared" si="25"/>
        <v>785727</v>
      </c>
      <c r="V86" s="176">
        <f t="shared" si="25"/>
        <v>767902</v>
      </c>
      <c r="W86" s="176">
        <f t="shared" si="25"/>
        <v>911578</v>
      </c>
      <c r="X86" s="176">
        <f t="shared" si="25"/>
        <v>909734</v>
      </c>
      <c r="Y86" s="176">
        <f t="shared" si="25"/>
        <v>857186</v>
      </c>
      <c r="Z86" s="176">
        <f t="shared" si="25"/>
        <v>844713</v>
      </c>
      <c r="AA86" s="176">
        <f t="shared" si="25"/>
        <v>891592</v>
      </c>
      <c r="AB86" s="176">
        <f t="shared" si="25"/>
        <v>1096782</v>
      </c>
      <c r="AC86" s="176">
        <f t="shared" si="25"/>
        <v>1163069</v>
      </c>
      <c r="AD86" s="176">
        <f t="shared" si="25"/>
        <v>1103643</v>
      </c>
      <c r="AE86" s="176">
        <f t="shared" si="25"/>
        <v>1200480</v>
      </c>
      <c r="AF86" s="176">
        <f t="shared" si="25"/>
        <v>1178367</v>
      </c>
      <c r="AG86" s="176">
        <f t="shared" si="25"/>
        <v>1231778</v>
      </c>
      <c r="AH86" s="176">
        <f t="shared" si="25"/>
        <v>1027529</v>
      </c>
      <c r="AI86" s="176">
        <f t="shared" si="25"/>
        <v>905799</v>
      </c>
      <c r="AJ86" s="176">
        <f t="shared" si="25"/>
        <v>977882</v>
      </c>
      <c r="AK86" s="176">
        <f t="shared" si="25"/>
        <v>756137</v>
      </c>
      <c r="AL86" s="176">
        <f t="shared" si="25"/>
        <v>555652</v>
      </c>
      <c r="AM86" s="176">
        <f t="shared" si="25"/>
        <v>565485</v>
      </c>
      <c r="AN86" s="176">
        <f t="shared" si="25"/>
        <v>904276</v>
      </c>
      <c r="AO86" s="176">
        <f t="shared" si="25"/>
        <v>922446</v>
      </c>
      <c r="AP86" s="176">
        <f t="shared" si="25"/>
        <v>644273</v>
      </c>
      <c r="AQ86" s="176">
        <f t="shared" si="25"/>
        <v>781406</v>
      </c>
      <c r="AR86" s="176">
        <f t="shared" si="25"/>
        <v>1101084</v>
      </c>
      <c r="AS86" s="176">
        <f t="shared" si="25"/>
        <v>1285842</v>
      </c>
      <c r="AT86" s="176">
        <f t="shared" si="25"/>
        <v>1153932</v>
      </c>
      <c r="AU86" s="176">
        <f t="shared" si="25"/>
        <v>1169936</v>
      </c>
      <c r="AV86" s="176">
        <f t="shared" si="25"/>
        <v>1056349</v>
      </c>
      <c r="AW86" s="176">
        <f t="shared" si="25"/>
        <v>1074112</v>
      </c>
      <c r="AX86" s="164">
        <f t="shared" si="24"/>
        <v>3248533087</v>
      </c>
      <c r="AZ86" s="195" t="str">
        <f>Commodities!$D$30</f>
        <v>HFO</v>
      </c>
      <c r="BA86" s="197" t="s">
        <v>83</v>
      </c>
      <c r="BB86" s="197" t="s">
        <v>82</v>
      </c>
    </row>
    <row r="87" spans="1:54" ht="15.75" thickBot="1">
      <c r="A87" s="200" t="s">
        <v>284</v>
      </c>
      <c r="B87" s="201" t="s">
        <v>267</v>
      </c>
      <c r="C87" s="202">
        <f>-C69</f>
        <v>2278</v>
      </c>
      <c r="D87" s="202">
        <f t="shared" si="25"/>
        <v>2479</v>
      </c>
      <c r="E87" s="202">
        <f t="shared" si="25"/>
        <v>3063</v>
      </c>
      <c r="F87" s="202">
        <f t="shared" si="25"/>
        <v>4198</v>
      </c>
      <c r="G87" s="202">
        <f t="shared" si="25"/>
        <v>4495</v>
      </c>
      <c r="H87" s="202">
        <f t="shared" si="25"/>
        <v>4899</v>
      </c>
      <c r="I87" s="202">
        <f t="shared" si="25"/>
        <v>5362</v>
      </c>
      <c r="J87" s="202">
        <f t="shared" si="25"/>
        <v>5639</v>
      </c>
      <c r="K87" s="202">
        <f t="shared" si="25"/>
        <v>5838</v>
      </c>
      <c r="L87" s="202">
        <f t="shared" si="25"/>
        <v>5961</v>
      </c>
      <c r="M87" s="202">
        <f t="shared" si="25"/>
        <v>5173</v>
      </c>
      <c r="N87" s="202">
        <f t="shared" si="25"/>
        <v>5701</v>
      </c>
      <c r="O87" s="202">
        <f t="shared" si="25"/>
        <v>5536</v>
      </c>
      <c r="P87" s="202">
        <f t="shared" si="25"/>
        <v>5388</v>
      </c>
      <c r="Q87" s="202">
        <f t="shared" si="25"/>
        <v>0</v>
      </c>
      <c r="R87" s="202">
        <f t="shared" si="25"/>
        <v>0</v>
      </c>
      <c r="S87" s="202">
        <f t="shared" si="25"/>
        <v>294559</v>
      </c>
      <c r="T87" s="202">
        <f t="shared" si="25"/>
        <v>446939</v>
      </c>
      <c r="U87" s="202">
        <f t="shared" si="25"/>
        <v>459885</v>
      </c>
      <c r="V87" s="202">
        <f t="shared" si="25"/>
        <v>439145</v>
      </c>
      <c r="W87" s="202">
        <f t="shared" si="25"/>
        <v>335697</v>
      </c>
      <c r="X87" s="202">
        <f t="shared" si="25"/>
        <v>362024</v>
      </c>
      <c r="Y87" s="202">
        <f t="shared" si="25"/>
        <v>405850</v>
      </c>
      <c r="Z87" s="202">
        <f t="shared" si="25"/>
        <v>416804</v>
      </c>
      <c r="AA87" s="202">
        <f t="shared" si="25"/>
        <v>427758</v>
      </c>
      <c r="AB87" s="202">
        <f t="shared" si="25"/>
        <v>387197</v>
      </c>
      <c r="AC87" s="202">
        <f t="shared" si="25"/>
        <v>346636</v>
      </c>
      <c r="AD87" s="202">
        <f t="shared" si="25"/>
        <v>306075</v>
      </c>
      <c r="AE87" s="202">
        <f t="shared" si="25"/>
        <v>351620</v>
      </c>
      <c r="AF87" s="202">
        <f t="shared" si="25"/>
        <v>380457</v>
      </c>
      <c r="AG87" s="202">
        <f t="shared" si="25"/>
        <v>318666</v>
      </c>
      <c r="AH87" s="202">
        <f t="shared" si="25"/>
        <v>256816</v>
      </c>
      <c r="AI87" s="202">
        <f t="shared" si="25"/>
        <v>222847</v>
      </c>
      <c r="AJ87" s="202">
        <f t="shared" si="25"/>
        <v>299190</v>
      </c>
      <c r="AK87" s="202">
        <f t="shared" si="25"/>
        <v>275371</v>
      </c>
      <c r="AL87" s="202">
        <f t="shared" si="25"/>
        <v>252295</v>
      </c>
      <c r="AM87" s="202">
        <f t="shared" si="25"/>
        <v>252295</v>
      </c>
      <c r="AN87" s="202">
        <f t="shared" si="25"/>
        <v>260862</v>
      </c>
      <c r="AO87" s="202">
        <f t="shared" si="25"/>
        <v>247819</v>
      </c>
      <c r="AP87" s="202">
        <f t="shared" si="25"/>
        <v>354806</v>
      </c>
      <c r="AQ87" s="202">
        <f t="shared" si="25"/>
        <v>367693</v>
      </c>
      <c r="AR87" s="202">
        <f t="shared" si="25"/>
        <v>404977</v>
      </c>
      <c r="AS87" s="202">
        <f t="shared" si="25"/>
        <v>585757</v>
      </c>
      <c r="AT87" s="202">
        <f t="shared" si="25"/>
        <v>585699</v>
      </c>
      <c r="AU87" s="202">
        <f t="shared" si="25"/>
        <v>583942</v>
      </c>
      <c r="AV87" s="202">
        <f t="shared" si="25"/>
        <v>558832</v>
      </c>
      <c r="AW87" s="202">
        <f t="shared" si="25"/>
        <v>558832</v>
      </c>
      <c r="AX87" s="164">
        <f t="shared" si="24"/>
        <v>658608834</v>
      </c>
      <c r="AZ87" s="203" t="e">
        <f>Commodities!#REF!</f>
        <v>#REF!</v>
      </c>
    </row>
    <row r="88" spans="1:54" ht="13.5" thickTop="1">
      <c r="AX88" s="164">
        <f t="shared" si="24"/>
        <v>6226864393</v>
      </c>
    </row>
    <row r="89" spans="1:54">
      <c r="AX89" s="164">
        <f t="shared" si="24"/>
        <v>4308286856</v>
      </c>
    </row>
    <row r="90" spans="1:54">
      <c r="AX90" s="164">
        <f t="shared" si="24"/>
        <v>0</v>
      </c>
    </row>
    <row r="91" spans="1:54">
      <c r="AX91" s="164">
        <f t="shared" si="24"/>
        <v>31362852</v>
      </c>
    </row>
    <row r="92" spans="1:54">
      <c r="AX92" s="164">
        <f t="shared" si="24"/>
        <v>0</v>
      </c>
    </row>
    <row r="93" spans="1:54">
      <c r="AX93" s="164">
        <f t="shared" si="24"/>
        <v>0</v>
      </c>
    </row>
    <row r="94" spans="1:54">
      <c r="AX94" s="164">
        <f t="shared" si="24"/>
        <v>0</v>
      </c>
    </row>
    <row r="98" spans="50:50">
      <c r="AX98" s="164">
        <f t="shared" ref="AX98:AX111" si="26">SUM(C37:AW37)</f>
        <v>15696574621</v>
      </c>
    </row>
    <row r="99" spans="50:50">
      <c r="AX99" s="164">
        <f t="shared" si="26"/>
        <v>475580860</v>
      </c>
    </row>
    <row r="100" spans="50:50">
      <c r="AX100" s="164">
        <f t="shared" si="26"/>
        <v>569513581</v>
      </c>
    </row>
    <row r="101" spans="50:50">
      <c r="AX101" s="164">
        <f t="shared" si="26"/>
        <v>12509376</v>
      </c>
    </row>
    <row r="102" spans="50:50">
      <c r="AX102" s="164">
        <f t="shared" si="26"/>
        <v>75815012</v>
      </c>
    </row>
    <row r="103" spans="50:50">
      <c r="AX103" s="164">
        <f t="shared" si="26"/>
        <v>255581</v>
      </c>
    </row>
    <row r="104" spans="50:50">
      <c r="AX104" s="164">
        <f t="shared" si="26"/>
        <v>0</v>
      </c>
    </row>
    <row r="105" spans="50:50">
      <c r="AX105" s="164">
        <f t="shared" si="26"/>
        <v>3708286</v>
      </c>
    </row>
    <row r="106" spans="50:50">
      <c r="AX106" s="164">
        <f t="shared" si="26"/>
        <v>136577074</v>
      </c>
    </row>
    <row r="107" spans="50:50">
      <c r="AX107" s="164">
        <f t="shared" si="26"/>
        <v>0</v>
      </c>
    </row>
    <row r="108" spans="50:50">
      <c r="AX108" s="164">
        <f t="shared" si="26"/>
        <v>1551</v>
      </c>
    </row>
    <row r="109" spans="50:50">
      <c r="AX109" s="164">
        <f t="shared" si="26"/>
        <v>191171</v>
      </c>
    </row>
    <row r="110" spans="50:50">
      <c r="AX110" s="164">
        <f t="shared" si="26"/>
        <v>39165062</v>
      </c>
    </row>
    <row r="111" spans="50:50">
      <c r="AX111" s="164">
        <f t="shared" si="26"/>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2CEE-13F1-4526-8488-FF0B93D46741}">
  <sheetPr>
    <pageSetUpPr fitToPage="1"/>
  </sheetPr>
  <dimension ref="A1:J55"/>
  <sheetViews>
    <sheetView showGridLines="0" workbookViewId="0">
      <selection activeCell="B42" sqref="B42"/>
    </sheetView>
  </sheetViews>
  <sheetFormatPr defaultColWidth="9.140625" defaultRowHeight="12" customHeight="1"/>
  <cols>
    <col min="1" max="1" width="72.28515625" style="668" customWidth="1"/>
    <col min="2" max="2" width="24.140625" style="668" customWidth="1"/>
    <col min="3" max="3" width="12" style="668" customWidth="1"/>
    <col min="4" max="4" width="15.42578125" style="668" customWidth="1"/>
    <col min="5" max="5" width="15" style="668" customWidth="1"/>
    <col min="6" max="6" width="14" style="668" customWidth="1"/>
    <col min="7" max="7" width="16.140625" style="668" customWidth="1"/>
    <col min="8" max="8" width="16.7109375" style="668" customWidth="1"/>
    <col min="9" max="9" width="18.140625" style="668" customWidth="1"/>
    <col min="10" max="10" width="16.140625" style="668" customWidth="1"/>
    <col min="11" max="16384" width="9.140625" style="668"/>
  </cols>
  <sheetData>
    <row r="1" spans="1:10" ht="15.75" customHeight="1">
      <c r="A1" s="842" t="s">
        <v>946</v>
      </c>
      <c r="B1" s="843"/>
      <c r="C1" s="665"/>
      <c r="D1" s="665"/>
      <c r="E1" s="665"/>
      <c r="F1" s="665"/>
      <c r="G1" s="665"/>
      <c r="H1" s="665"/>
      <c r="I1" s="666"/>
      <c r="J1" s="667" t="s">
        <v>947</v>
      </c>
    </row>
    <row r="2" spans="1:10" ht="15.75" customHeight="1">
      <c r="A2" s="669" t="s">
        <v>948</v>
      </c>
      <c r="B2" s="670"/>
      <c r="C2" s="666"/>
      <c r="D2" s="666"/>
      <c r="E2" s="666"/>
      <c r="F2" s="666"/>
      <c r="G2" s="666"/>
      <c r="H2" s="666"/>
      <c r="I2" s="666"/>
      <c r="J2" s="671" t="s">
        <v>949</v>
      </c>
    </row>
    <row r="3" spans="1:10" ht="15.75" customHeight="1">
      <c r="A3" s="669" t="s">
        <v>950</v>
      </c>
      <c r="B3" s="670"/>
      <c r="C3" s="666"/>
      <c r="D3" s="666"/>
      <c r="E3" s="666"/>
      <c r="F3" s="666"/>
      <c r="G3" s="666"/>
      <c r="H3" s="671"/>
      <c r="I3" s="666"/>
      <c r="J3" s="671" t="s">
        <v>951</v>
      </c>
    </row>
    <row r="4" spans="1:10" ht="15.75" customHeight="1">
      <c r="A4" s="669"/>
      <c r="B4" s="666"/>
      <c r="C4" s="666"/>
      <c r="D4" s="666"/>
      <c r="E4" s="666"/>
      <c r="F4" s="666"/>
      <c r="G4" s="666"/>
      <c r="H4" s="671"/>
      <c r="I4" s="671"/>
      <c r="J4" s="666"/>
    </row>
    <row r="5" spans="1:10" ht="12.75" customHeight="1">
      <c r="A5" s="672"/>
      <c r="B5" s="666"/>
      <c r="C5" s="666"/>
      <c r="D5" s="666"/>
      <c r="E5" s="666"/>
      <c r="F5" s="666"/>
      <c r="G5" s="666"/>
      <c r="H5" s="666"/>
      <c r="I5" s="666"/>
      <c r="J5" s="666"/>
    </row>
    <row r="6" spans="1:10" ht="14.25" customHeight="1">
      <c r="A6" s="844" t="s">
        <v>952</v>
      </c>
      <c r="B6" s="847" t="s">
        <v>953</v>
      </c>
      <c r="C6" s="848"/>
      <c r="D6" s="847" t="s">
        <v>954</v>
      </c>
      <c r="E6" s="849"/>
      <c r="F6" s="850"/>
      <c r="G6" s="847" t="s">
        <v>955</v>
      </c>
      <c r="H6" s="851"/>
      <c r="I6" s="851"/>
      <c r="J6" s="848"/>
    </row>
    <row r="7" spans="1:10" ht="13.5" customHeight="1">
      <c r="A7" s="845"/>
      <c r="B7" s="852" t="s">
        <v>956</v>
      </c>
      <c r="C7" s="853"/>
      <c r="D7" s="856" t="s">
        <v>957</v>
      </c>
      <c r="E7" s="852" t="s">
        <v>958</v>
      </c>
      <c r="F7" s="853" t="s">
        <v>959</v>
      </c>
      <c r="G7" s="856" t="s">
        <v>960</v>
      </c>
      <c r="H7" s="856" t="s">
        <v>958</v>
      </c>
      <c r="I7" s="856" t="s">
        <v>959</v>
      </c>
      <c r="J7" s="673" t="s">
        <v>961</v>
      </c>
    </row>
    <row r="8" spans="1:10" ht="13.5" customHeight="1">
      <c r="A8" s="845"/>
      <c r="B8" s="854"/>
      <c r="C8" s="855"/>
      <c r="D8" s="857"/>
      <c r="E8" s="854"/>
      <c r="F8" s="855"/>
      <c r="G8" s="858"/>
      <c r="H8" s="857"/>
      <c r="I8" s="857"/>
      <c r="J8" s="673" t="s">
        <v>962</v>
      </c>
    </row>
    <row r="9" spans="1:10" ht="15" customHeight="1" thickBot="1">
      <c r="A9" s="846"/>
      <c r="B9" s="674" t="s">
        <v>963</v>
      </c>
      <c r="C9" s="675" t="s">
        <v>964</v>
      </c>
      <c r="D9" s="675" t="s">
        <v>965</v>
      </c>
      <c r="E9" s="859" t="s">
        <v>966</v>
      </c>
      <c r="F9" s="860"/>
      <c r="G9" s="859" t="s">
        <v>967</v>
      </c>
      <c r="H9" s="861"/>
      <c r="I9" s="861"/>
      <c r="J9" s="862"/>
    </row>
    <row r="10" spans="1:10" ht="12.75" customHeight="1" thickTop="1">
      <c r="A10" s="676" t="s">
        <v>968</v>
      </c>
      <c r="B10" s="677">
        <v>626702.6580323691</v>
      </c>
      <c r="C10" s="677" t="s">
        <v>969</v>
      </c>
      <c r="D10" s="678" t="s">
        <v>970</v>
      </c>
      <c r="E10" s="678" t="s">
        <v>970</v>
      </c>
      <c r="F10" s="678" t="s">
        <v>970</v>
      </c>
      <c r="G10" s="677">
        <v>32696.17418267933</v>
      </c>
      <c r="H10" s="677">
        <v>11.129124103134959</v>
      </c>
      <c r="I10" s="677">
        <v>1.2771176752758999</v>
      </c>
      <c r="J10" s="677" t="s">
        <v>971</v>
      </c>
    </row>
    <row r="11" spans="1:10" ht="12" customHeight="1">
      <c r="A11" s="679" t="s">
        <v>972</v>
      </c>
      <c r="B11" s="677">
        <v>246749.58260055727</v>
      </c>
      <c r="C11" s="677" t="s">
        <v>969</v>
      </c>
      <c r="D11" s="677">
        <v>73.166935657469509</v>
      </c>
      <c r="E11" s="677">
        <v>2.3552821003606699</v>
      </c>
      <c r="F11" s="677">
        <v>2.32066694844637</v>
      </c>
      <c r="G11" s="677">
        <v>18053.910833642432</v>
      </c>
      <c r="H11" s="677">
        <v>0.58116487517056004</v>
      </c>
      <c r="I11" s="677">
        <v>0.57262360088404995</v>
      </c>
      <c r="J11" s="677" t="s">
        <v>971</v>
      </c>
    </row>
    <row r="12" spans="1:10" ht="12" customHeight="1">
      <c r="A12" s="679" t="s">
        <v>973</v>
      </c>
      <c r="B12" s="677">
        <v>67616.038709939166</v>
      </c>
      <c r="C12" s="677" t="s">
        <v>969</v>
      </c>
      <c r="D12" s="677">
        <v>94.082276728123375</v>
      </c>
      <c r="E12" s="677">
        <v>1.6529852922713499</v>
      </c>
      <c r="F12" s="677">
        <v>1.9651978324414601</v>
      </c>
      <c r="G12" s="677">
        <v>6361.4708651679985</v>
      </c>
      <c r="H12" s="677">
        <v>0.11176831750918</v>
      </c>
      <c r="I12" s="677">
        <v>0.13287889271105</v>
      </c>
      <c r="J12" s="677" t="s">
        <v>971</v>
      </c>
    </row>
    <row r="13" spans="1:10" ht="12" customHeight="1">
      <c r="A13" s="679" t="s">
        <v>974</v>
      </c>
      <c r="B13" s="677">
        <v>113518.27919695192</v>
      </c>
      <c r="C13" s="677" t="s">
        <v>969</v>
      </c>
      <c r="D13" s="677">
        <v>57.03336878259433</v>
      </c>
      <c r="E13" s="677">
        <v>26.747916274673411</v>
      </c>
      <c r="F13" s="677">
        <v>0.98624160877305</v>
      </c>
      <c r="G13" s="677">
        <v>6474.3298810052647</v>
      </c>
      <c r="H13" s="677">
        <v>3.0363774276050699</v>
      </c>
      <c r="I13" s="677">
        <v>0.11195645030034999</v>
      </c>
      <c r="J13" s="677" t="s">
        <v>971</v>
      </c>
    </row>
    <row r="14" spans="1:10" ht="12" customHeight="1">
      <c r="A14" s="679" t="s">
        <v>975</v>
      </c>
      <c r="B14" s="677">
        <v>19179.45472032277</v>
      </c>
      <c r="C14" s="677" t="s">
        <v>969</v>
      </c>
      <c r="D14" s="677">
        <v>94.187380674044036</v>
      </c>
      <c r="E14" s="677">
        <v>5.0512555789192701</v>
      </c>
      <c r="F14" s="677">
        <v>1.5765119575125801</v>
      </c>
      <c r="G14" s="677">
        <v>1806.4626028636319</v>
      </c>
      <c r="H14" s="677">
        <v>9.6880327656660006E-2</v>
      </c>
      <c r="I14" s="677">
        <v>3.0236639705159999E-2</v>
      </c>
      <c r="J14" s="677" t="s">
        <v>971</v>
      </c>
    </row>
    <row r="15" spans="1:10" ht="13.5" customHeight="1">
      <c r="A15" s="679" t="s">
        <v>976</v>
      </c>
      <c r="B15" s="677" t="s">
        <v>971</v>
      </c>
      <c r="C15" s="677" t="s">
        <v>969</v>
      </c>
      <c r="D15" s="677" t="s">
        <v>971</v>
      </c>
      <c r="E15" s="677" t="s">
        <v>971</v>
      </c>
      <c r="F15" s="677" t="s">
        <v>971</v>
      </c>
      <c r="G15" s="677" t="s">
        <v>971</v>
      </c>
      <c r="H15" s="677" t="s">
        <v>971</v>
      </c>
      <c r="I15" s="677" t="s">
        <v>971</v>
      </c>
      <c r="J15" s="677" t="s">
        <v>971</v>
      </c>
    </row>
    <row r="16" spans="1:10" ht="12.75" customHeight="1">
      <c r="A16" s="679" t="s">
        <v>977</v>
      </c>
      <c r="B16" s="677">
        <v>179639.30280459797</v>
      </c>
      <c r="C16" s="677" t="s">
        <v>969</v>
      </c>
      <c r="D16" s="677">
        <v>106.12392191130185</v>
      </c>
      <c r="E16" s="677">
        <v>40.653314954897319</v>
      </c>
      <c r="F16" s="677">
        <v>2.3904684830712801</v>
      </c>
      <c r="G16" s="678" t="s">
        <v>970</v>
      </c>
      <c r="H16" s="677">
        <v>7.3029331551934904</v>
      </c>
      <c r="I16" s="677">
        <v>0.42942209167529</v>
      </c>
      <c r="J16" s="677" t="s">
        <v>971</v>
      </c>
    </row>
    <row r="17" spans="1:10" ht="12" customHeight="1">
      <c r="A17" s="680" t="s">
        <v>978</v>
      </c>
      <c r="B17" s="677">
        <v>250926.86714947878</v>
      </c>
      <c r="C17" s="677" t="s">
        <v>969</v>
      </c>
      <c r="D17" s="678" t="s">
        <v>970</v>
      </c>
      <c r="E17" s="678" t="s">
        <v>970</v>
      </c>
      <c r="F17" s="678" t="s">
        <v>970</v>
      </c>
      <c r="G17" s="677">
        <v>11263.850718900698</v>
      </c>
      <c r="H17" s="677">
        <v>4.4607837694353796</v>
      </c>
      <c r="I17" s="677">
        <v>0.28838103679440003</v>
      </c>
      <c r="J17" s="677" t="s">
        <v>971</v>
      </c>
    </row>
    <row r="18" spans="1:10" ht="12" customHeight="1">
      <c r="A18" s="681" t="s">
        <v>972</v>
      </c>
      <c r="B18" s="677">
        <v>17024.950388656489</v>
      </c>
      <c r="C18" s="677" t="s">
        <v>969</v>
      </c>
      <c r="D18" s="677">
        <v>58.08574472191556</v>
      </c>
      <c r="E18" s="677">
        <v>1.1502198750263299</v>
      </c>
      <c r="F18" s="677">
        <v>0.28580625068734999</v>
      </c>
      <c r="G18" s="677">
        <v>988.90692217877802</v>
      </c>
      <c r="H18" s="677">
        <v>1.9582436308370001E-2</v>
      </c>
      <c r="I18" s="677">
        <v>4.86583723872E-3</v>
      </c>
      <c r="J18" s="677" t="s">
        <v>971</v>
      </c>
    </row>
    <row r="19" spans="1:10" ht="12" customHeight="1">
      <c r="A19" s="681" t="s">
        <v>973</v>
      </c>
      <c r="B19" s="677">
        <v>62021.106548375603</v>
      </c>
      <c r="C19" s="677" t="s">
        <v>969</v>
      </c>
      <c r="D19" s="677">
        <v>94.087573310703135</v>
      </c>
      <c r="E19" s="677">
        <v>0.90000000000003</v>
      </c>
      <c r="F19" s="677">
        <v>0.80106493746524998</v>
      </c>
      <c r="G19" s="677">
        <v>5835.4154091812197</v>
      </c>
      <c r="H19" s="677">
        <v>5.5818995893540002E-2</v>
      </c>
      <c r="I19" s="677">
        <v>4.9682933838699997E-2</v>
      </c>
      <c r="J19" s="677" t="s">
        <v>971</v>
      </c>
    </row>
    <row r="20" spans="1:10" ht="12" customHeight="1">
      <c r="A20" s="681" t="s">
        <v>974</v>
      </c>
      <c r="B20" s="677">
        <v>50079.574709284701</v>
      </c>
      <c r="C20" s="677" t="s">
        <v>969</v>
      </c>
      <c r="D20" s="677">
        <v>57.215277109201828</v>
      </c>
      <c r="E20" s="677">
        <v>51.434255145822917</v>
      </c>
      <c r="F20" s="677">
        <v>0.95622519186472998</v>
      </c>
      <c r="G20" s="677">
        <v>2865.3167445027002</v>
      </c>
      <c r="H20" s="677">
        <v>2.5758056231916502</v>
      </c>
      <c r="I20" s="677">
        <v>4.7887350934890001E-2</v>
      </c>
      <c r="J20" s="677" t="s">
        <v>971</v>
      </c>
    </row>
    <row r="21" spans="1:10" ht="13.5" customHeight="1">
      <c r="A21" s="681" t="s">
        <v>975</v>
      </c>
      <c r="B21" s="677">
        <v>16396.305033446999</v>
      </c>
      <c r="C21" s="677" t="s">
        <v>969</v>
      </c>
      <c r="D21" s="677">
        <v>96.010146177858275</v>
      </c>
      <c r="E21" s="677">
        <v>0.33999999999988001</v>
      </c>
      <c r="F21" s="677">
        <v>1.20000000000022</v>
      </c>
      <c r="G21" s="677">
        <v>1574.2116430379999</v>
      </c>
      <c r="H21" s="677">
        <v>5.5747437113700003E-3</v>
      </c>
      <c r="I21" s="677">
        <v>1.9675566040140001E-2</v>
      </c>
      <c r="J21" s="677" t="s">
        <v>971</v>
      </c>
    </row>
    <row r="22" spans="1:10" ht="12" customHeight="1">
      <c r="A22" s="681" t="s">
        <v>976</v>
      </c>
      <c r="B22" s="677" t="s">
        <v>971</v>
      </c>
      <c r="C22" s="677" t="s">
        <v>969</v>
      </c>
      <c r="D22" s="677" t="s">
        <v>971</v>
      </c>
      <c r="E22" s="677" t="s">
        <v>971</v>
      </c>
      <c r="F22" s="677" t="s">
        <v>971</v>
      </c>
      <c r="G22" s="677" t="s">
        <v>971</v>
      </c>
      <c r="H22" s="677" t="s">
        <v>971</v>
      </c>
      <c r="I22" s="677" t="s">
        <v>971</v>
      </c>
      <c r="J22" s="677" t="s">
        <v>971</v>
      </c>
    </row>
    <row r="23" spans="1:10" ht="12" customHeight="1">
      <c r="A23" s="681" t="s">
        <v>977</v>
      </c>
      <c r="B23" s="677">
        <v>105404.93046971499</v>
      </c>
      <c r="C23" s="677" t="s">
        <v>969</v>
      </c>
      <c r="D23" s="677">
        <v>109.49497706199099</v>
      </c>
      <c r="E23" s="677">
        <v>17.114967604373849</v>
      </c>
      <c r="F23" s="677">
        <v>1.5774342623348401</v>
      </c>
      <c r="G23" s="677">
        <v>11541.3104440022</v>
      </c>
      <c r="H23" s="677">
        <v>1.80400197033045</v>
      </c>
      <c r="I23" s="677">
        <v>0.16626934874195001</v>
      </c>
      <c r="J23" s="677" t="s">
        <v>971</v>
      </c>
    </row>
    <row r="24" spans="1:10" ht="12" customHeight="1">
      <c r="A24" s="682" t="s">
        <v>979</v>
      </c>
      <c r="B24" s="677">
        <v>213195.87945947869</v>
      </c>
      <c r="C24" s="677" t="s">
        <v>969</v>
      </c>
      <c r="D24" s="678" t="s">
        <v>970</v>
      </c>
      <c r="E24" s="678" t="s">
        <v>970</v>
      </c>
      <c r="F24" s="678" t="s">
        <v>970</v>
      </c>
      <c r="G24" s="677">
        <v>9112.7280472490202</v>
      </c>
      <c r="H24" s="677">
        <v>4.4056961870405003</v>
      </c>
      <c r="I24" s="677">
        <v>0.26251997420848</v>
      </c>
      <c r="J24" s="677" t="s">
        <v>971</v>
      </c>
    </row>
    <row r="25" spans="1:10" ht="12" customHeight="1">
      <c r="A25" s="681" t="s">
        <v>972</v>
      </c>
      <c r="B25" s="677">
        <v>1663.7375456984901</v>
      </c>
      <c r="C25" s="677" t="s">
        <v>969</v>
      </c>
      <c r="D25" s="677">
        <v>76.148116747363716</v>
      </c>
      <c r="E25" s="677">
        <v>1.25545018716464</v>
      </c>
      <c r="F25" s="677">
        <v>0.82618169157378996</v>
      </c>
      <c r="G25" s="677">
        <v>126.69048086682101</v>
      </c>
      <c r="H25" s="677">
        <v>2.0887396131400002E-3</v>
      </c>
      <c r="I25" s="677">
        <v>1.37454949984E-3</v>
      </c>
      <c r="J25" s="677" t="s">
        <v>971</v>
      </c>
    </row>
    <row r="26" spans="1:10" ht="12" customHeight="1">
      <c r="A26" s="681" t="s">
        <v>973</v>
      </c>
      <c r="B26" s="677">
        <v>62021.106548375603</v>
      </c>
      <c r="C26" s="677" t="s">
        <v>969</v>
      </c>
      <c r="D26" s="677">
        <v>94.087573310703135</v>
      </c>
      <c r="E26" s="677">
        <v>0.90000000000003</v>
      </c>
      <c r="F26" s="677">
        <v>0.80106493746524998</v>
      </c>
      <c r="G26" s="677">
        <v>5835.4154091812197</v>
      </c>
      <c r="H26" s="677">
        <v>5.5818995893540002E-2</v>
      </c>
      <c r="I26" s="677">
        <v>4.9682933838699997E-2</v>
      </c>
      <c r="J26" s="677" t="s">
        <v>971</v>
      </c>
    </row>
    <row r="27" spans="1:10" ht="12" customHeight="1">
      <c r="A27" s="681" t="s">
        <v>974</v>
      </c>
      <c r="B27" s="677">
        <v>27709.799862242598</v>
      </c>
      <c r="C27" s="677" t="s">
        <v>969</v>
      </c>
      <c r="D27" s="677">
        <v>56.889999999999951</v>
      </c>
      <c r="E27" s="677">
        <v>91.599786000279636</v>
      </c>
      <c r="F27" s="677">
        <v>0.92088633677287002</v>
      </c>
      <c r="G27" s="677">
        <v>1576.41051416298</v>
      </c>
      <c r="H27" s="677">
        <v>2.5382117374919999</v>
      </c>
      <c r="I27" s="677">
        <v>2.5517576087850002E-2</v>
      </c>
      <c r="J27" s="677" t="s">
        <v>971</v>
      </c>
    </row>
    <row r="28" spans="1:10" ht="12" customHeight="1">
      <c r="A28" s="681" t="s">
        <v>975</v>
      </c>
      <c r="B28" s="677">
        <v>16396.305033446999</v>
      </c>
      <c r="C28" s="677" t="s">
        <v>969</v>
      </c>
      <c r="D28" s="677">
        <v>96.010146177858275</v>
      </c>
      <c r="E28" s="677">
        <v>0.33999999999988001</v>
      </c>
      <c r="F28" s="677">
        <v>1.20000000000022</v>
      </c>
      <c r="G28" s="677">
        <v>1574.2116430379999</v>
      </c>
      <c r="H28" s="677">
        <v>5.5747437113700003E-3</v>
      </c>
      <c r="I28" s="677">
        <v>1.9675566040140001E-2</v>
      </c>
      <c r="J28" s="677" t="s">
        <v>971</v>
      </c>
    </row>
    <row r="29" spans="1:10" ht="12" customHeight="1">
      <c r="A29" s="681" t="s">
        <v>976</v>
      </c>
      <c r="B29" s="677" t="s">
        <v>971</v>
      </c>
      <c r="C29" s="677" t="s">
        <v>969</v>
      </c>
      <c r="D29" s="677" t="s">
        <v>971</v>
      </c>
      <c r="E29" s="677" t="s">
        <v>971</v>
      </c>
      <c r="F29" s="677" t="s">
        <v>971</v>
      </c>
      <c r="G29" s="677" t="s">
        <v>971</v>
      </c>
      <c r="H29" s="677" t="s">
        <v>971</v>
      </c>
      <c r="I29" s="677" t="s">
        <v>971</v>
      </c>
      <c r="J29" s="677" t="s">
        <v>971</v>
      </c>
    </row>
    <row r="30" spans="1:10" ht="12" customHeight="1">
      <c r="A30" s="681" t="s">
        <v>977</v>
      </c>
      <c r="B30" s="677">
        <v>105404.93046971499</v>
      </c>
      <c r="C30" s="677" t="s">
        <v>969</v>
      </c>
      <c r="D30" s="677">
        <v>109.49497706199099</v>
      </c>
      <c r="E30" s="677">
        <v>17.114967604373849</v>
      </c>
      <c r="F30" s="677">
        <v>1.5774342623348401</v>
      </c>
      <c r="G30" s="677">
        <v>11541.3104440022</v>
      </c>
      <c r="H30" s="677">
        <v>1.80400197033045</v>
      </c>
      <c r="I30" s="677">
        <v>0.16626934874195001</v>
      </c>
      <c r="J30" s="677" t="s">
        <v>971</v>
      </c>
    </row>
    <row r="31" spans="1:10" ht="12" customHeight="1">
      <c r="A31" s="683" t="s">
        <v>980</v>
      </c>
      <c r="B31" s="677">
        <v>15874.619135847999</v>
      </c>
      <c r="C31" s="677" t="s">
        <v>969</v>
      </c>
      <c r="D31" s="678" t="s">
        <v>970</v>
      </c>
      <c r="E31" s="678" t="s">
        <v>970</v>
      </c>
      <c r="F31" s="678" t="s">
        <v>970</v>
      </c>
      <c r="G31" s="677">
        <v>891.42285795096598</v>
      </c>
      <c r="H31" s="677">
        <v>1.80069557059E-2</v>
      </c>
      <c r="I31" s="677">
        <v>4.0047234882100002E-3</v>
      </c>
      <c r="J31" s="677" t="s">
        <v>971</v>
      </c>
    </row>
    <row r="32" spans="1:10" ht="12" customHeight="1">
      <c r="A32" s="681" t="s">
        <v>972</v>
      </c>
      <c r="B32" s="684">
        <v>15361.139201848</v>
      </c>
      <c r="C32" s="677" t="s">
        <v>969</v>
      </c>
      <c r="D32" s="677">
        <v>56.129364702455071</v>
      </c>
      <c r="E32" s="677">
        <v>1.1388137000799701</v>
      </c>
      <c r="F32" s="677">
        <v>0.22727764577446999</v>
      </c>
      <c r="G32" s="684">
        <v>862.21098450570605</v>
      </c>
      <c r="H32" s="684">
        <v>1.74934757719E-2</v>
      </c>
      <c r="I32" s="684">
        <v>3.4912435542100002E-3</v>
      </c>
      <c r="J32" s="684" t="s">
        <v>971</v>
      </c>
    </row>
    <row r="33" spans="1:10" ht="12" customHeight="1">
      <c r="A33" s="681" t="s">
        <v>973</v>
      </c>
      <c r="B33" s="684" t="s">
        <v>971</v>
      </c>
      <c r="C33" s="677" t="s">
        <v>969</v>
      </c>
      <c r="D33" s="677" t="s">
        <v>971</v>
      </c>
      <c r="E33" s="677" t="s">
        <v>971</v>
      </c>
      <c r="F33" s="677" t="s">
        <v>971</v>
      </c>
      <c r="G33" s="684" t="s">
        <v>971</v>
      </c>
      <c r="H33" s="684" t="s">
        <v>971</v>
      </c>
      <c r="I33" s="684" t="s">
        <v>971</v>
      </c>
      <c r="J33" s="684" t="s">
        <v>971</v>
      </c>
    </row>
    <row r="34" spans="1:10" ht="12" customHeight="1">
      <c r="A34" s="681" t="s">
        <v>974</v>
      </c>
      <c r="B34" s="684">
        <v>513.47993399999996</v>
      </c>
      <c r="C34" s="677" t="s">
        <v>969</v>
      </c>
      <c r="D34" s="677">
        <v>56.89</v>
      </c>
      <c r="E34" s="677">
        <v>1</v>
      </c>
      <c r="F34" s="677">
        <v>1</v>
      </c>
      <c r="G34" s="684">
        <v>29.21187344526</v>
      </c>
      <c r="H34" s="684">
        <v>5.1347993400000002E-4</v>
      </c>
      <c r="I34" s="684">
        <v>5.1347993400000002E-4</v>
      </c>
      <c r="J34" s="684" t="s">
        <v>971</v>
      </c>
    </row>
    <row r="35" spans="1:10" ht="12" customHeight="1">
      <c r="A35" s="681" t="s">
        <v>975</v>
      </c>
      <c r="B35" s="684" t="s">
        <v>971</v>
      </c>
      <c r="C35" s="677" t="s">
        <v>969</v>
      </c>
      <c r="D35" s="677" t="s">
        <v>971</v>
      </c>
      <c r="E35" s="677" t="s">
        <v>971</v>
      </c>
      <c r="F35" s="677" t="s">
        <v>971</v>
      </c>
      <c r="G35" s="684" t="s">
        <v>971</v>
      </c>
      <c r="H35" s="684" t="s">
        <v>971</v>
      </c>
      <c r="I35" s="684" t="s">
        <v>971</v>
      </c>
      <c r="J35" s="684" t="s">
        <v>971</v>
      </c>
    </row>
    <row r="36" spans="1:10" ht="13.5" customHeight="1">
      <c r="A36" s="681" t="s">
        <v>976</v>
      </c>
      <c r="B36" s="684" t="s">
        <v>971</v>
      </c>
      <c r="C36" s="677" t="s">
        <v>969</v>
      </c>
      <c r="D36" s="677" t="s">
        <v>971</v>
      </c>
      <c r="E36" s="677" t="s">
        <v>971</v>
      </c>
      <c r="F36" s="677" t="s">
        <v>971</v>
      </c>
      <c r="G36" s="684" t="s">
        <v>971</v>
      </c>
      <c r="H36" s="684" t="s">
        <v>971</v>
      </c>
      <c r="I36" s="684" t="s">
        <v>971</v>
      </c>
      <c r="J36" s="684" t="s">
        <v>971</v>
      </c>
    </row>
    <row r="37" spans="1:10" ht="12" customHeight="1">
      <c r="A37" s="681" t="s">
        <v>977</v>
      </c>
      <c r="B37" s="684" t="s">
        <v>971</v>
      </c>
      <c r="C37" s="677" t="s">
        <v>969</v>
      </c>
      <c r="D37" s="677" t="s">
        <v>971</v>
      </c>
      <c r="E37" s="677" t="s">
        <v>971</v>
      </c>
      <c r="F37" s="677" t="s">
        <v>971</v>
      </c>
      <c r="G37" s="684" t="s">
        <v>971</v>
      </c>
      <c r="H37" s="684" t="s">
        <v>971</v>
      </c>
      <c r="I37" s="684" t="s">
        <v>971</v>
      </c>
      <c r="J37" s="684" t="s">
        <v>971</v>
      </c>
    </row>
    <row r="38" spans="1:10" ht="12" customHeight="1">
      <c r="A38" s="685" t="s">
        <v>981</v>
      </c>
      <c r="B38" s="677">
        <v>21856.368554152101</v>
      </c>
      <c r="C38" s="677" t="s">
        <v>969</v>
      </c>
      <c r="D38" s="678" t="s">
        <v>970</v>
      </c>
      <c r="E38" s="678" t="s">
        <v>970</v>
      </c>
      <c r="F38" s="678" t="s">
        <v>970</v>
      </c>
      <c r="G38" s="677">
        <v>1259.699813700711</v>
      </c>
      <c r="H38" s="677">
        <v>3.7080626688980003E-2</v>
      </c>
      <c r="I38" s="677">
        <v>2.1856339097709999E-2</v>
      </c>
      <c r="J38" s="677" t="s">
        <v>971</v>
      </c>
    </row>
    <row r="39" spans="1:10" ht="12" customHeight="1">
      <c r="A39" s="679" t="s">
        <v>972</v>
      </c>
      <c r="B39" s="677">
        <v>7.3641109999999996E-2</v>
      </c>
      <c r="C39" s="677" t="s">
        <v>969</v>
      </c>
      <c r="D39" s="677">
        <v>74.099999999999994</v>
      </c>
      <c r="E39" s="677">
        <v>3</v>
      </c>
      <c r="F39" s="677">
        <v>0.60000005431749004</v>
      </c>
      <c r="G39" s="677">
        <v>5.4568062510000001E-3</v>
      </c>
      <c r="H39" s="677">
        <v>2.2092333E-7</v>
      </c>
      <c r="I39" s="677">
        <v>4.4184670000000002E-8</v>
      </c>
      <c r="J39" s="677" t="s">
        <v>971</v>
      </c>
    </row>
    <row r="40" spans="1:10" ht="12" customHeight="1">
      <c r="A40" s="679" t="s">
        <v>973</v>
      </c>
      <c r="B40" s="677" t="s">
        <v>971</v>
      </c>
      <c r="C40" s="677" t="s">
        <v>969</v>
      </c>
      <c r="D40" s="677" t="s">
        <v>971</v>
      </c>
      <c r="E40" s="677" t="s">
        <v>971</v>
      </c>
      <c r="F40" s="677" t="s">
        <v>971</v>
      </c>
      <c r="G40" s="677" t="s">
        <v>971</v>
      </c>
      <c r="H40" s="677" t="s">
        <v>971</v>
      </c>
      <c r="I40" s="677" t="s">
        <v>971</v>
      </c>
      <c r="J40" s="677" t="s">
        <v>971</v>
      </c>
    </row>
    <row r="41" spans="1:10" ht="12" customHeight="1">
      <c r="A41" s="679" t="s">
        <v>974</v>
      </c>
      <c r="B41" s="677">
        <v>21856.2949130421</v>
      </c>
      <c r="C41" s="677" t="s">
        <v>969</v>
      </c>
      <c r="D41" s="677">
        <v>57.635311104023152</v>
      </c>
      <c r="E41" s="677">
        <v>1.6965549702353</v>
      </c>
      <c r="F41" s="677">
        <v>0.99999999999989997</v>
      </c>
      <c r="G41" s="677">
        <v>1259.69435689446</v>
      </c>
      <c r="H41" s="677">
        <v>3.7080405765649999E-2</v>
      </c>
      <c r="I41" s="677">
        <v>2.185629491304E-2</v>
      </c>
      <c r="J41" s="677" t="s">
        <v>971</v>
      </c>
    </row>
    <row r="42" spans="1:10" ht="12" customHeight="1">
      <c r="A42" s="679" t="s">
        <v>975</v>
      </c>
      <c r="B42" s="677" t="s">
        <v>971</v>
      </c>
      <c r="C42" s="677" t="s">
        <v>969</v>
      </c>
      <c r="D42" s="677" t="s">
        <v>971</v>
      </c>
      <c r="E42" s="677" t="s">
        <v>971</v>
      </c>
      <c r="F42" s="677" t="s">
        <v>971</v>
      </c>
      <c r="G42" s="677" t="s">
        <v>971</v>
      </c>
      <c r="H42" s="677" t="s">
        <v>971</v>
      </c>
      <c r="I42" s="677" t="s">
        <v>971</v>
      </c>
      <c r="J42" s="677" t="s">
        <v>971</v>
      </c>
    </row>
    <row r="43" spans="1:10" ht="13.5" customHeight="1">
      <c r="A43" s="679" t="s">
        <v>976</v>
      </c>
      <c r="B43" s="677" t="s">
        <v>971</v>
      </c>
      <c r="C43" s="677" t="s">
        <v>969</v>
      </c>
      <c r="D43" s="677" t="s">
        <v>971</v>
      </c>
      <c r="E43" s="677" t="s">
        <v>971</v>
      </c>
      <c r="F43" s="677" t="s">
        <v>971</v>
      </c>
      <c r="G43" s="677" t="s">
        <v>971</v>
      </c>
      <c r="H43" s="677" t="s">
        <v>971</v>
      </c>
      <c r="I43" s="677" t="s">
        <v>971</v>
      </c>
      <c r="J43" s="677" t="s">
        <v>971</v>
      </c>
    </row>
    <row r="44" spans="1:10" ht="12.75" customHeight="1">
      <c r="A44" s="679" t="s">
        <v>977</v>
      </c>
      <c r="B44" s="677" t="s">
        <v>971</v>
      </c>
      <c r="C44" s="677" t="s">
        <v>969</v>
      </c>
      <c r="D44" s="677" t="s">
        <v>971</v>
      </c>
      <c r="E44" s="677" t="s">
        <v>971</v>
      </c>
      <c r="F44" s="677" t="s">
        <v>971</v>
      </c>
      <c r="G44" s="677" t="s">
        <v>971</v>
      </c>
      <c r="H44" s="677" t="s">
        <v>971</v>
      </c>
      <c r="I44" s="677" t="s">
        <v>971</v>
      </c>
      <c r="J44" s="677" t="s">
        <v>971</v>
      </c>
    </row>
    <row r="45" spans="1:10" ht="12.75" customHeight="1">
      <c r="A45" s="686" t="s">
        <v>982</v>
      </c>
      <c r="B45" s="677">
        <v>21856.368554152101</v>
      </c>
      <c r="C45" s="677" t="s">
        <v>969</v>
      </c>
      <c r="D45" s="678" t="s">
        <v>970</v>
      </c>
      <c r="E45" s="678" t="s">
        <v>970</v>
      </c>
      <c r="F45" s="678" t="s">
        <v>970</v>
      </c>
      <c r="G45" s="677">
        <v>1259.699813700711</v>
      </c>
      <c r="H45" s="677">
        <v>3.7080626688980003E-2</v>
      </c>
      <c r="I45" s="677">
        <v>2.1856339097709999E-2</v>
      </c>
      <c r="J45" s="677" t="s">
        <v>971</v>
      </c>
    </row>
    <row r="46" spans="1:10" ht="12.75">
      <c r="A46" s="687" t="s">
        <v>983</v>
      </c>
      <c r="B46" s="684">
        <v>7.3641109999999996E-2</v>
      </c>
      <c r="C46" s="677" t="s">
        <v>969</v>
      </c>
      <c r="D46" s="677">
        <v>74.099999999999994</v>
      </c>
      <c r="E46" s="677">
        <v>3</v>
      </c>
      <c r="F46" s="677">
        <v>0.60000005431749004</v>
      </c>
      <c r="G46" s="684">
        <v>5.4568062510000001E-3</v>
      </c>
      <c r="H46" s="684">
        <v>2.2092333E-7</v>
      </c>
      <c r="I46" s="684">
        <v>4.4184670000000002E-8</v>
      </c>
      <c r="J46" s="684" t="s">
        <v>971</v>
      </c>
    </row>
    <row r="47" spans="1:10" ht="12.75">
      <c r="A47" s="687" t="s">
        <v>984</v>
      </c>
      <c r="B47" s="684" t="s">
        <v>971</v>
      </c>
      <c r="C47" s="677" t="s">
        <v>969</v>
      </c>
      <c r="D47" s="677" t="s">
        <v>971</v>
      </c>
      <c r="E47" s="677" t="s">
        <v>971</v>
      </c>
      <c r="F47" s="677" t="s">
        <v>971</v>
      </c>
      <c r="G47" s="684" t="s">
        <v>971</v>
      </c>
      <c r="H47" s="684" t="s">
        <v>971</v>
      </c>
      <c r="I47" s="684" t="s">
        <v>971</v>
      </c>
      <c r="J47" s="684" t="s">
        <v>971</v>
      </c>
    </row>
    <row r="48" spans="1:10" ht="12.75">
      <c r="A48" s="687" t="s">
        <v>985</v>
      </c>
      <c r="B48" s="684">
        <v>21856.2949130421</v>
      </c>
      <c r="C48" s="677" t="s">
        <v>969</v>
      </c>
      <c r="D48" s="677">
        <v>57.635311104023152</v>
      </c>
      <c r="E48" s="677">
        <v>1.6965549702353</v>
      </c>
      <c r="F48" s="677">
        <v>0.99999999999989997</v>
      </c>
      <c r="G48" s="684">
        <v>1259.69435689446</v>
      </c>
      <c r="H48" s="684">
        <v>3.7080405765649999E-2</v>
      </c>
      <c r="I48" s="684">
        <v>2.185629491304E-2</v>
      </c>
      <c r="J48" s="684" t="s">
        <v>971</v>
      </c>
    </row>
    <row r="49" spans="1:10" ht="12.75">
      <c r="A49" s="687" t="s">
        <v>986</v>
      </c>
      <c r="B49" s="684" t="s">
        <v>971</v>
      </c>
      <c r="C49" s="677" t="s">
        <v>969</v>
      </c>
      <c r="D49" s="677" t="s">
        <v>971</v>
      </c>
      <c r="E49" s="677" t="s">
        <v>971</v>
      </c>
      <c r="F49" s="677" t="s">
        <v>971</v>
      </c>
      <c r="G49" s="684" t="s">
        <v>971</v>
      </c>
      <c r="H49" s="684" t="s">
        <v>971</v>
      </c>
      <c r="I49" s="684" t="s">
        <v>971</v>
      </c>
      <c r="J49" s="684" t="s">
        <v>971</v>
      </c>
    </row>
    <row r="50" spans="1:10" ht="12.75">
      <c r="A50" s="687" t="s">
        <v>987</v>
      </c>
      <c r="B50" s="684" t="s">
        <v>971</v>
      </c>
      <c r="C50" s="677" t="s">
        <v>969</v>
      </c>
      <c r="D50" s="677" t="s">
        <v>971</v>
      </c>
      <c r="E50" s="677" t="s">
        <v>971</v>
      </c>
      <c r="F50" s="677" t="s">
        <v>971</v>
      </c>
      <c r="G50" s="684" t="s">
        <v>971</v>
      </c>
      <c r="H50" s="684" t="s">
        <v>971</v>
      </c>
      <c r="I50" s="684" t="s">
        <v>971</v>
      </c>
      <c r="J50" s="684" t="s">
        <v>971</v>
      </c>
    </row>
    <row r="51" spans="1:10" ht="12.75">
      <c r="A51" s="687" t="s">
        <v>988</v>
      </c>
      <c r="B51" s="684" t="s">
        <v>971</v>
      </c>
      <c r="C51" s="677" t="s">
        <v>969</v>
      </c>
      <c r="D51" s="677" t="s">
        <v>971</v>
      </c>
      <c r="E51" s="677" t="s">
        <v>971</v>
      </c>
      <c r="F51" s="677" t="s">
        <v>971</v>
      </c>
      <c r="G51" s="684" t="s">
        <v>971</v>
      </c>
      <c r="H51" s="684" t="s">
        <v>971</v>
      </c>
      <c r="I51" s="684" t="s">
        <v>971</v>
      </c>
      <c r="J51" s="684" t="s">
        <v>971</v>
      </c>
    </row>
    <row r="52" spans="1:10" ht="12" customHeight="1">
      <c r="A52" s="688"/>
      <c r="B52" s="688"/>
      <c r="C52" s="688"/>
      <c r="D52" s="688"/>
      <c r="E52" s="688"/>
      <c r="F52" s="688"/>
      <c r="G52" s="688"/>
      <c r="H52" s="688"/>
      <c r="I52" s="688"/>
      <c r="J52" s="688"/>
    </row>
    <row r="53" spans="1:10" ht="12" customHeight="1">
      <c r="A53" s="863" t="s">
        <v>989</v>
      </c>
      <c r="B53" s="863"/>
      <c r="C53" s="689"/>
      <c r="D53" s="689"/>
      <c r="E53" s="689"/>
      <c r="F53" s="689"/>
      <c r="G53" s="689"/>
      <c r="H53" s="689"/>
      <c r="I53" s="689"/>
      <c r="J53" s="689"/>
    </row>
    <row r="54" spans="1:10" ht="12" customHeight="1">
      <c r="A54" s="689"/>
      <c r="B54" s="689"/>
      <c r="C54" s="689"/>
      <c r="D54" s="689"/>
      <c r="E54" s="689"/>
      <c r="F54" s="689"/>
      <c r="G54" s="689"/>
      <c r="H54" s="689"/>
      <c r="I54" s="689"/>
      <c r="J54" s="689"/>
    </row>
    <row r="55" spans="1:10" ht="40.5" customHeight="1">
      <c r="A55" s="840" t="s">
        <v>990</v>
      </c>
      <c r="B55" s="840"/>
      <c r="C55" s="840"/>
      <c r="D55" s="840"/>
      <c r="E55" s="840"/>
      <c r="F55" s="841"/>
      <c r="G55" s="841"/>
      <c r="H55" s="841"/>
      <c r="I55" s="841"/>
      <c r="J55" s="841"/>
    </row>
  </sheetData>
  <sheetProtection password="A754" sheet="1" objects="1" scenarios="1"/>
  <mergeCells count="16">
    <mergeCell ref="A55:J55"/>
    <mergeCell ref="A1:B1"/>
    <mergeCell ref="A6:A9"/>
    <mergeCell ref="B6:C6"/>
    <mergeCell ref="D6:F6"/>
    <mergeCell ref="G6:J6"/>
    <mergeCell ref="B7:C8"/>
    <mergeCell ref="D7:D8"/>
    <mergeCell ref="E7:E8"/>
    <mergeCell ref="F7:F8"/>
    <mergeCell ref="G7:G8"/>
    <mergeCell ref="H7:H8"/>
    <mergeCell ref="I7:I8"/>
    <mergeCell ref="E9:F9"/>
    <mergeCell ref="G9:J9"/>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2E55-FEF0-407E-84C3-85CD78CDAF9D}">
  <sheetPr>
    <tabColor theme="9" tint="0.39997558519241921"/>
  </sheetPr>
  <dimension ref="A1:P73"/>
  <sheetViews>
    <sheetView zoomScale="75" zoomScaleNormal="75" workbookViewId="0">
      <selection activeCell="C18" sqref="C18"/>
    </sheetView>
  </sheetViews>
  <sheetFormatPr defaultColWidth="8.85546875" defaultRowHeight="15"/>
  <cols>
    <col min="1" max="2" width="40.5703125" style="697" customWidth="1"/>
    <col min="3" max="7" width="13.7109375" style="697" customWidth="1"/>
    <col min="8" max="8" width="15.85546875" style="697" customWidth="1"/>
    <col min="9" max="12" width="13.7109375" style="697" customWidth="1"/>
    <col min="13" max="16384" width="8.85546875" style="697"/>
  </cols>
  <sheetData>
    <row r="1" spans="1:16" s="693" customFormat="1" ht="24" customHeight="1">
      <c r="A1" s="692" t="s">
        <v>992</v>
      </c>
      <c r="B1" s="692" t="s">
        <v>993</v>
      </c>
      <c r="D1" s="694"/>
      <c r="O1" s="695"/>
    </row>
    <row r="2" spans="1:16" ht="20.25">
      <c r="A2" s="696"/>
      <c r="B2" s="696"/>
      <c r="D2" s="698"/>
      <c r="O2" s="699"/>
    </row>
    <row r="3" spans="1:16" ht="36" customHeight="1" thickBot="1">
      <c r="A3" s="700"/>
      <c r="B3" s="700"/>
      <c r="C3" s="701" t="s">
        <v>994</v>
      </c>
      <c r="D3" s="702" t="s">
        <v>995</v>
      </c>
      <c r="E3" s="701" t="s">
        <v>996</v>
      </c>
      <c r="F3" s="701" t="s">
        <v>483</v>
      </c>
      <c r="G3" s="701" t="s">
        <v>997</v>
      </c>
      <c r="H3" s="701" t="s">
        <v>998</v>
      </c>
      <c r="I3" s="701" t="s">
        <v>999</v>
      </c>
      <c r="J3" s="701" t="s">
        <v>1000</v>
      </c>
      <c r="K3" s="701" t="s">
        <v>615</v>
      </c>
      <c r="L3" s="701" t="s">
        <v>1001</v>
      </c>
      <c r="O3" s="699"/>
    </row>
    <row r="4" spans="1:16" ht="45" customHeight="1" thickBot="1">
      <c r="A4" s="700"/>
      <c r="B4" s="700"/>
      <c r="C4" s="701" t="s">
        <v>1002</v>
      </c>
      <c r="D4" s="701" t="s">
        <v>1003</v>
      </c>
      <c r="E4" s="701" t="s">
        <v>1004</v>
      </c>
      <c r="F4" s="701" t="s">
        <v>374</v>
      </c>
      <c r="G4" s="701" t="s">
        <v>1005</v>
      </c>
      <c r="H4" s="701" t="s">
        <v>1006</v>
      </c>
      <c r="I4" s="701" t="s">
        <v>1007</v>
      </c>
      <c r="J4" s="701" t="s">
        <v>286</v>
      </c>
      <c r="K4" s="701" t="s">
        <v>1008</v>
      </c>
      <c r="L4" s="701" t="s">
        <v>1009</v>
      </c>
      <c r="O4" s="699"/>
    </row>
    <row r="5" spans="1:16">
      <c r="A5" s="703" t="s">
        <v>1010</v>
      </c>
      <c r="B5" s="703" t="s">
        <v>1011</v>
      </c>
      <c r="C5" s="704"/>
      <c r="D5" s="705"/>
      <c r="E5" s="706"/>
      <c r="F5" s="704"/>
      <c r="G5" s="704"/>
      <c r="H5" s="704"/>
      <c r="I5" s="704"/>
      <c r="J5" s="704"/>
      <c r="K5" s="704"/>
      <c r="L5" s="704"/>
      <c r="O5" s="699"/>
    </row>
    <row r="6" spans="1:16">
      <c r="A6" s="707" t="s">
        <v>1012</v>
      </c>
      <c r="B6" s="707" t="s">
        <v>1013</v>
      </c>
      <c r="C6" s="708">
        <v>749300.7</v>
      </c>
      <c r="D6" s="708">
        <v>299758.57</v>
      </c>
      <c r="E6" s="708">
        <v>-13230.77</v>
      </c>
      <c r="F6" s="708">
        <v>112784.94</v>
      </c>
      <c r="G6" s="708">
        <v>67582.240000000005</v>
      </c>
      <c r="H6" s="708">
        <v>17297.29</v>
      </c>
      <c r="I6" s="708">
        <v>246187.28</v>
      </c>
      <c r="J6" s="708">
        <v>18807.63</v>
      </c>
      <c r="K6" s="708">
        <v>113.52</v>
      </c>
      <c r="L6" s="708">
        <v>0</v>
      </c>
      <c r="M6" s="709"/>
      <c r="O6" s="699"/>
    </row>
    <row r="7" spans="1:16">
      <c r="A7" s="710" t="s">
        <v>1014</v>
      </c>
      <c r="B7" s="710" t="s">
        <v>1015</v>
      </c>
      <c r="C7" s="708">
        <v>586574.21</v>
      </c>
      <c r="D7" s="708">
        <v>243628.84</v>
      </c>
      <c r="E7" s="708">
        <v>0</v>
      </c>
      <c r="F7" s="708">
        <v>155071.34</v>
      </c>
      <c r="G7" s="708">
        <v>0</v>
      </c>
      <c r="H7" s="708">
        <v>15103.09</v>
      </c>
      <c r="I7" s="708">
        <v>172770.94</v>
      </c>
      <c r="J7" s="708">
        <v>0</v>
      </c>
      <c r="K7" s="708">
        <v>0</v>
      </c>
      <c r="L7" s="708">
        <v>0</v>
      </c>
      <c r="O7" s="699"/>
      <c r="P7" s="709"/>
    </row>
    <row r="8" spans="1:16">
      <c r="A8" s="710" t="s">
        <v>1016</v>
      </c>
      <c r="B8" s="710" t="s">
        <v>1017</v>
      </c>
      <c r="C8" s="708">
        <v>2.59</v>
      </c>
      <c r="D8" s="708">
        <v>0</v>
      </c>
      <c r="E8" s="708">
        <v>2.59</v>
      </c>
      <c r="F8" s="708">
        <v>0</v>
      </c>
      <c r="G8" s="708">
        <v>0</v>
      </c>
      <c r="H8" s="708">
        <v>0</v>
      </c>
      <c r="I8" s="708">
        <v>0</v>
      </c>
      <c r="J8" s="708">
        <v>0</v>
      </c>
      <c r="K8" s="708">
        <v>0</v>
      </c>
      <c r="L8" s="708">
        <v>0</v>
      </c>
      <c r="O8" s="699"/>
    </row>
    <row r="9" spans="1:16">
      <c r="A9" s="710" t="s">
        <v>1018</v>
      </c>
      <c r="B9" s="710" t="s">
        <v>1019</v>
      </c>
      <c r="C9" s="708">
        <v>675226.83</v>
      </c>
      <c r="D9" s="708">
        <v>205302.93</v>
      </c>
      <c r="E9" s="708">
        <v>253805.88</v>
      </c>
      <c r="F9" s="708">
        <v>14522.53</v>
      </c>
      <c r="G9" s="708">
        <v>67360.490000000005</v>
      </c>
      <c r="H9" s="708">
        <v>2194.1999999999998</v>
      </c>
      <c r="I9" s="708">
        <v>75646.28</v>
      </c>
      <c r="J9" s="708">
        <v>56280.99</v>
      </c>
      <c r="K9" s="708">
        <v>113.52</v>
      </c>
      <c r="L9" s="708">
        <v>0</v>
      </c>
      <c r="O9" s="699"/>
    </row>
    <row r="10" spans="1:16">
      <c r="A10" s="710" t="s">
        <v>1020</v>
      </c>
      <c r="B10" s="710" t="s">
        <v>1021</v>
      </c>
      <c r="C10" s="708">
        <v>-496705.22</v>
      </c>
      <c r="D10" s="708">
        <v>-149682.91</v>
      </c>
      <c r="E10" s="708">
        <v>-249343.76</v>
      </c>
      <c r="F10" s="708">
        <v>-57669.02</v>
      </c>
      <c r="G10" s="708">
        <v>-420.64</v>
      </c>
      <c r="H10" s="708">
        <v>0</v>
      </c>
      <c r="I10" s="708">
        <v>-2115.5300000000002</v>
      </c>
      <c r="J10" s="708">
        <v>-37473.360000000001</v>
      </c>
      <c r="K10" s="708">
        <v>0</v>
      </c>
      <c r="L10" s="708">
        <v>0</v>
      </c>
      <c r="M10" s="709"/>
      <c r="O10" s="699"/>
    </row>
    <row r="11" spans="1:16">
      <c r="A11" s="710" t="s">
        <v>1022</v>
      </c>
      <c r="B11" s="710" t="s">
        <v>1023</v>
      </c>
      <c r="C11" s="708">
        <v>-9924.6200000000008</v>
      </c>
      <c r="D11" s="708">
        <v>0</v>
      </c>
      <c r="E11" s="708">
        <v>-9924.6200000000008</v>
      </c>
      <c r="F11" s="708">
        <v>0</v>
      </c>
      <c r="G11" s="708">
        <v>0</v>
      </c>
      <c r="H11" s="708">
        <v>0</v>
      </c>
      <c r="I11" s="708">
        <v>0</v>
      </c>
      <c r="J11" s="708">
        <v>0</v>
      </c>
      <c r="K11" s="708">
        <v>0</v>
      </c>
      <c r="L11" s="708">
        <v>0</v>
      </c>
      <c r="O11" s="699"/>
    </row>
    <row r="12" spans="1:16">
      <c r="A12" s="710" t="s">
        <v>1024</v>
      </c>
      <c r="B12" s="710" t="s">
        <v>1025</v>
      </c>
      <c r="C12" s="708">
        <v>-24876.02</v>
      </c>
      <c r="D12" s="708">
        <v>0</v>
      </c>
      <c r="E12" s="708">
        <v>-24876.02</v>
      </c>
      <c r="F12" s="708">
        <v>0</v>
      </c>
      <c r="G12" s="708">
        <v>0</v>
      </c>
      <c r="H12" s="708">
        <v>0</v>
      </c>
      <c r="I12" s="708">
        <v>0</v>
      </c>
      <c r="J12" s="708">
        <v>0</v>
      </c>
      <c r="K12" s="708">
        <v>0</v>
      </c>
      <c r="L12" s="708">
        <v>0</v>
      </c>
      <c r="O12" s="699"/>
    </row>
    <row r="13" spans="1:16">
      <c r="A13" s="710" t="s">
        <v>1026</v>
      </c>
      <c r="B13" s="710" t="s">
        <v>1027</v>
      </c>
      <c r="C13" s="708">
        <v>16300.88</v>
      </c>
      <c r="D13" s="708">
        <v>-1622.05</v>
      </c>
      <c r="E13" s="708">
        <v>19155.68</v>
      </c>
      <c r="F13" s="708">
        <v>6.66</v>
      </c>
      <c r="G13" s="708">
        <v>-1297.6099999999999</v>
      </c>
      <c r="H13" s="708">
        <v>0</v>
      </c>
      <c r="I13" s="708">
        <v>58.2</v>
      </c>
      <c r="J13" s="708">
        <v>0</v>
      </c>
      <c r="K13" s="708">
        <v>0</v>
      </c>
      <c r="L13" s="708">
        <v>0</v>
      </c>
      <c r="O13" s="699"/>
    </row>
    <row r="14" spans="1:16">
      <c r="A14" s="710" t="s">
        <v>1028</v>
      </c>
      <c r="B14" s="710" t="s">
        <v>1029</v>
      </c>
      <c r="C14" s="708">
        <v>2702.05</v>
      </c>
      <c r="D14" s="708">
        <v>2131.7600000000002</v>
      </c>
      <c r="E14" s="708">
        <v>-2050.5300000000002</v>
      </c>
      <c r="F14" s="708">
        <v>853.43</v>
      </c>
      <c r="G14" s="708">
        <v>1940</v>
      </c>
      <c r="H14" s="708">
        <v>0</v>
      </c>
      <c r="I14" s="708">
        <v>-172.62</v>
      </c>
      <c r="J14" s="708">
        <v>0</v>
      </c>
      <c r="K14" s="708">
        <v>0</v>
      </c>
      <c r="L14" s="708">
        <v>0</v>
      </c>
      <c r="O14" s="699"/>
    </row>
    <row r="15" spans="1:16">
      <c r="A15" s="707" t="s">
        <v>1030</v>
      </c>
      <c r="B15" s="707" t="s">
        <v>1031</v>
      </c>
      <c r="C15" s="708">
        <v>-38370.83</v>
      </c>
      <c r="D15" s="708">
        <v>-299758.57</v>
      </c>
      <c r="E15" s="708">
        <v>286401.84000000003</v>
      </c>
      <c r="F15" s="708">
        <v>-20987.38</v>
      </c>
      <c r="G15" s="708">
        <v>0</v>
      </c>
      <c r="H15" s="708">
        <v>0</v>
      </c>
      <c r="I15" s="708">
        <v>0</v>
      </c>
      <c r="J15" s="708">
        <v>-3414.98</v>
      </c>
      <c r="K15" s="708">
        <v>-611.74</v>
      </c>
      <c r="L15" s="708">
        <v>0</v>
      </c>
      <c r="N15" s="711"/>
      <c r="O15" s="699"/>
      <c r="P15" s="711"/>
    </row>
    <row r="16" spans="1:16">
      <c r="A16" s="710" t="s">
        <v>1032</v>
      </c>
      <c r="B16" s="710" t="s">
        <v>1033</v>
      </c>
      <c r="C16" s="708">
        <v>-20987.38</v>
      </c>
      <c r="D16" s="708">
        <v>0</v>
      </c>
      <c r="E16" s="708">
        <v>0</v>
      </c>
      <c r="F16" s="708">
        <v>-20987.38</v>
      </c>
      <c r="G16" s="708">
        <v>0</v>
      </c>
      <c r="H16" s="708">
        <v>0</v>
      </c>
      <c r="I16" s="708">
        <v>0</v>
      </c>
      <c r="J16" s="708">
        <v>0</v>
      </c>
      <c r="K16" s="708">
        <v>0</v>
      </c>
      <c r="L16" s="708">
        <v>0</v>
      </c>
      <c r="O16" s="699"/>
    </row>
    <row r="17" spans="1:16">
      <c r="A17" s="712" t="s">
        <v>1034</v>
      </c>
      <c r="B17" s="712" t="s">
        <v>1035</v>
      </c>
      <c r="C17" s="708">
        <v>300869.88</v>
      </c>
      <c r="D17" s="708">
        <v>0</v>
      </c>
      <c r="E17" s="708">
        <v>300869.88</v>
      </c>
      <c r="F17" s="708">
        <v>0</v>
      </c>
      <c r="G17" s="708">
        <v>0</v>
      </c>
      <c r="H17" s="708">
        <v>0</v>
      </c>
      <c r="I17" s="708">
        <v>0</v>
      </c>
      <c r="J17" s="708">
        <v>0</v>
      </c>
      <c r="K17" s="708">
        <v>0</v>
      </c>
      <c r="L17" s="708">
        <v>0</v>
      </c>
      <c r="M17" s="713"/>
      <c r="N17" s="713"/>
      <c r="O17" s="699"/>
      <c r="P17" s="713"/>
    </row>
    <row r="18" spans="1:16">
      <c r="A18" s="712" t="s">
        <v>1036</v>
      </c>
      <c r="B18" s="712" t="s">
        <v>1037</v>
      </c>
      <c r="C18" s="708">
        <v>-315931.68</v>
      </c>
      <c r="D18" s="708">
        <v>-299758.57</v>
      </c>
      <c r="E18" s="708">
        <v>-14468.04</v>
      </c>
      <c r="F18" s="708">
        <v>0</v>
      </c>
      <c r="G18" s="708">
        <v>0</v>
      </c>
      <c r="H18" s="708">
        <v>0</v>
      </c>
      <c r="I18" s="708">
        <v>0</v>
      </c>
      <c r="J18" s="708">
        <v>-1093.32</v>
      </c>
      <c r="K18" s="708">
        <v>-611.74</v>
      </c>
      <c r="L18" s="708">
        <v>0</v>
      </c>
      <c r="M18" s="713"/>
      <c r="N18" s="713"/>
      <c r="O18" s="699"/>
      <c r="P18" s="713"/>
    </row>
    <row r="19" spans="1:16">
      <c r="A19" s="712" t="s">
        <v>1038</v>
      </c>
      <c r="B19" s="712" t="s">
        <v>1039</v>
      </c>
      <c r="C19" s="708">
        <v>-2321.66</v>
      </c>
      <c r="D19" s="708">
        <v>0</v>
      </c>
      <c r="E19" s="708">
        <v>0</v>
      </c>
      <c r="F19" s="708">
        <v>0</v>
      </c>
      <c r="G19" s="708">
        <v>0</v>
      </c>
      <c r="H19" s="708">
        <v>0</v>
      </c>
      <c r="I19" s="708">
        <v>0</v>
      </c>
      <c r="J19" s="708">
        <v>-2321.66</v>
      </c>
      <c r="K19" s="708">
        <v>0</v>
      </c>
      <c r="L19" s="708">
        <v>0</v>
      </c>
      <c r="M19" s="713"/>
      <c r="N19" s="713"/>
      <c r="O19" s="699"/>
      <c r="P19" s="713"/>
    </row>
    <row r="20" spans="1:16">
      <c r="A20" s="707" t="s">
        <v>1040</v>
      </c>
      <c r="B20" s="707" t="s">
        <v>1041</v>
      </c>
      <c r="C20" s="708">
        <v>-38417.68</v>
      </c>
      <c r="D20" s="708">
        <v>0</v>
      </c>
      <c r="E20" s="708">
        <v>-3785.86</v>
      </c>
      <c r="F20" s="708">
        <v>-31317.51</v>
      </c>
      <c r="G20" s="708">
        <v>-61989.91</v>
      </c>
      <c r="H20" s="708">
        <v>-16310.6</v>
      </c>
      <c r="I20" s="708">
        <v>-164220.76</v>
      </c>
      <c r="J20" s="708">
        <v>104496.16</v>
      </c>
      <c r="K20" s="708">
        <v>134078.32999999999</v>
      </c>
      <c r="L20" s="708">
        <v>632.47</v>
      </c>
      <c r="M20" s="714"/>
      <c r="N20" s="709"/>
      <c r="O20" s="699"/>
    </row>
    <row r="21" spans="1:16">
      <c r="A21" s="710" t="s">
        <v>1042</v>
      </c>
      <c r="B21" s="710" t="s">
        <v>1043</v>
      </c>
      <c r="C21" s="708">
        <v>-28727.87</v>
      </c>
      <c r="D21" s="708">
        <v>0</v>
      </c>
      <c r="E21" s="708">
        <v>-831.34</v>
      </c>
      <c r="F21" s="708">
        <v>-3994.78</v>
      </c>
      <c r="G21" s="708">
        <v>-61841.29</v>
      </c>
      <c r="H21" s="708">
        <v>0</v>
      </c>
      <c r="I21" s="708">
        <v>-47813.87</v>
      </c>
      <c r="J21" s="708">
        <v>38822.92</v>
      </c>
      <c r="K21" s="708">
        <v>46930.5</v>
      </c>
      <c r="L21" s="708">
        <v>0</v>
      </c>
      <c r="M21" s="713"/>
      <c r="N21" s="709"/>
      <c r="O21" s="699"/>
    </row>
    <row r="22" spans="1:16">
      <c r="A22" s="710" t="s">
        <v>1044</v>
      </c>
      <c r="B22" s="710" t="s">
        <v>1045</v>
      </c>
      <c r="C22" s="708">
        <v>0</v>
      </c>
      <c r="D22" s="708">
        <v>0</v>
      </c>
      <c r="E22" s="708">
        <v>0</v>
      </c>
      <c r="F22" s="708">
        <v>0</v>
      </c>
      <c r="G22" s="708">
        <v>0</v>
      </c>
      <c r="H22" s="708">
        <v>0</v>
      </c>
      <c r="I22" s="708">
        <v>-50089.19</v>
      </c>
      <c r="J22" s="708">
        <v>50089.19</v>
      </c>
      <c r="K22" s="708">
        <v>0</v>
      </c>
      <c r="L22" s="708">
        <v>0</v>
      </c>
      <c r="M22" s="709"/>
      <c r="N22" s="709"/>
      <c r="O22" s="699"/>
    </row>
    <row r="23" spans="1:16">
      <c r="A23" s="710" t="s">
        <v>1046</v>
      </c>
      <c r="B23" s="710" t="s">
        <v>1047</v>
      </c>
      <c r="C23" s="708">
        <v>-2906.43</v>
      </c>
      <c r="D23" s="708">
        <v>0</v>
      </c>
      <c r="E23" s="708">
        <v>-16.739999999999998</v>
      </c>
      <c r="F23" s="708">
        <v>-11106.74</v>
      </c>
      <c r="G23" s="708">
        <v>-38.54</v>
      </c>
      <c r="H23" s="708">
        <v>-2421.4499999999998</v>
      </c>
      <c r="I23" s="708">
        <v>-17420.71</v>
      </c>
      <c r="J23" s="708">
        <v>9277.49</v>
      </c>
      <c r="K23" s="708">
        <v>18820.259999999998</v>
      </c>
      <c r="L23" s="708">
        <v>0</v>
      </c>
      <c r="M23" s="709"/>
      <c r="O23" s="715"/>
      <c r="P23" s="699"/>
    </row>
    <row r="24" spans="1:16">
      <c r="A24" s="710" t="s">
        <v>1048</v>
      </c>
      <c r="B24" s="710" t="s">
        <v>1049</v>
      </c>
      <c r="C24" s="708">
        <v>-496.99</v>
      </c>
      <c r="D24" s="708">
        <v>0</v>
      </c>
      <c r="E24" s="708">
        <v>-789.91</v>
      </c>
      <c r="F24" s="708">
        <v>-12675.35</v>
      </c>
      <c r="G24" s="708">
        <v>-110.08</v>
      </c>
      <c r="H24" s="708">
        <v>-236.03</v>
      </c>
      <c r="I24" s="708">
        <v>-24569.439999999999</v>
      </c>
      <c r="J24" s="708">
        <v>-1058.96</v>
      </c>
      <c r="K24" s="708">
        <v>38942.78</v>
      </c>
      <c r="L24" s="708">
        <v>0</v>
      </c>
      <c r="M24" s="709"/>
      <c r="O24" s="699"/>
      <c r="P24" s="699"/>
    </row>
    <row r="25" spans="1:16">
      <c r="A25" s="710" t="s">
        <v>1050</v>
      </c>
      <c r="B25" s="710" t="s">
        <v>1051</v>
      </c>
      <c r="C25" s="708">
        <v>-1566.14</v>
      </c>
      <c r="D25" s="708">
        <v>0</v>
      </c>
      <c r="E25" s="708">
        <v>-2147.87</v>
      </c>
      <c r="F25" s="708">
        <v>-2998.4</v>
      </c>
      <c r="G25" s="708">
        <v>0</v>
      </c>
      <c r="H25" s="708">
        <v>-13653.13</v>
      </c>
      <c r="I25" s="708">
        <v>-24167.15</v>
      </c>
      <c r="J25" s="708">
        <v>11160.84</v>
      </c>
      <c r="K25" s="708">
        <v>30239.57</v>
      </c>
      <c r="L25" s="708">
        <v>0</v>
      </c>
      <c r="M25" s="709"/>
      <c r="O25" s="699"/>
      <c r="P25" s="699"/>
    </row>
    <row r="26" spans="1:16">
      <c r="A26" s="710" t="s">
        <v>1052</v>
      </c>
      <c r="B26" s="710" t="s">
        <v>1053</v>
      </c>
      <c r="C26" s="708">
        <v>-70.150000000000006</v>
      </c>
      <c r="D26" s="708">
        <v>0</v>
      </c>
      <c r="E26" s="708">
        <v>0</v>
      </c>
      <c r="F26" s="708">
        <v>-542.23</v>
      </c>
      <c r="G26" s="708">
        <v>0</v>
      </c>
      <c r="H26" s="708">
        <v>0</v>
      </c>
      <c r="I26" s="708">
        <v>-160.38999999999999</v>
      </c>
      <c r="J26" s="708">
        <v>0</v>
      </c>
      <c r="K26" s="708">
        <v>0</v>
      </c>
      <c r="L26" s="708">
        <v>632.47</v>
      </c>
      <c r="M26" s="709"/>
      <c r="O26" s="699"/>
      <c r="P26" s="699"/>
    </row>
    <row r="27" spans="1:16">
      <c r="A27" s="710" t="s">
        <v>1054</v>
      </c>
      <c r="B27" s="710" t="s">
        <v>1055</v>
      </c>
      <c r="C27" s="708">
        <v>-4650.09</v>
      </c>
      <c r="D27" s="708">
        <v>0</v>
      </c>
      <c r="E27" s="708">
        <v>0</v>
      </c>
      <c r="F27" s="708">
        <v>0</v>
      </c>
      <c r="G27" s="708">
        <v>0</v>
      </c>
      <c r="H27" s="708">
        <v>0</v>
      </c>
      <c r="I27" s="708">
        <v>0</v>
      </c>
      <c r="J27" s="708">
        <v>-3795.32</v>
      </c>
      <c r="K27" s="708">
        <v>-854.77</v>
      </c>
      <c r="L27" s="708">
        <v>0</v>
      </c>
      <c r="M27" s="709"/>
      <c r="O27" s="699"/>
      <c r="P27" s="699"/>
    </row>
    <row r="28" spans="1:16">
      <c r="A28" s="707" t="s">
        <v>1056</v>
      </c>
      <c r="B28" s="707" t="s">
        <v>1057</v>
      </c>
      <c r="C28" s="708">
        <v>-34959.230000000003</v>
      </c>
      <c r="D28" s="708">
        <v>0</v>
      </c>
      <c r="E28" s="708">
        <v>0</v>
      </c>
      <c r="F28" s="708">
        <v>-110.28</v>
      </c>
      <c r="G28" s="708">
        <v>0</v>
      </c>
      <c r="H28" s="708">
        <v>0</v>
      </c>
      <c r="I28" s="708">
        <v>0</v>
      </c>
      <c r="J28" s="708">
        <v>-7985.28</v>
      </c>
      <c r="K28" s="708">
        <v>-26838.37</v>
      </c>
      <c r="L28" s="708">
        <v>-25.3</v>
      </c>
      <c r="N28" s="709"/>
      <c r="O28" s="699"/>
      <c r="P28" s="699"/>
    </row>
    <row r="29" spans="1:16">
      <c r="A29" s="707" t="s">
        <v>1058</v>
      </c>
      <c r="B29" s="707" t="s">
        <v>1059</v>
      </c>
      <c r="C29" s="708">
        <v>-637544.47</v>
      </c>
      <c r="D29" s="708">
        <v>0</v>
      </c>
      <c r="E29" s="708">
        <v>-269385.2</v>
      </c>
      <c r="F29" s="708">
        <v>-60369.78</v>
      </c>
      <c r="G29" s="708">
        <v>-5592.32</v>
      </c>
      <c r="H29" s="708">
        <v>-986.69</v>
      </c>
      <c r="I29" s="708">
        <v>-81958.039999999994</v>
      </c>
      <c r="J29" s="708">
        <v>-111903.53</v>
      </c>
      <c r="K29" s="708">
        <v>-106741.74</v>
      </c>
      <c r="L29" s="708">
        <v>-607.16999999999996</v>
      </c>
      <c r="O29" s="699"/>
      <c r="P29" s="699"/>
    </row>
    <row r="30" spans="1:16">
      <c r="A30" s="710" t="s">
        <v>1060</v>
      </c>
      <c r="B30" s="710" t="s">
        <v>1061</v>
      </c>
      <c r="C30" s="708">
        <v>-10268.39</v>
      </c>
      <c r="D30" s="708">
        <v>0</v>
      </c>
      <c r="E30" s="708">
        <v>-10268.39</v>
      </c>
      <c r="F30" s="708">
        <v>0</v>
      </c>
      <c r="G30" s="708">
        <v>0</v>
      </c>
      <c r="H30" s="708">
        <v>0</v>
      </c>
      <c r="I30" s="708">
        <v>0</v>
      </c>
      <c r="J30" s="708">
        <v>0</v>
      </c>
      <c r="K30" s="708">
        <v>0</v>
      </c>
      <c r="L30" s="708">
        <v>0</v>
      </c>
      <c r="P30" s="699"/>
    </row>
    <row r="31" spans="1:16">
      <c r="A31" s="710" t="s">
        <v>1062</v>
      </c>
      <c r="B31" s="710" t="s">
        <v>1063</v>
      </c>
      <c r="C31" s="708">
        <v>-222741.08</v>
      </c>
      <c r="D31" s="708">
        <v>0</v>
      </c>
      <c r="E31" s="708">
        <v>-212004.85</v>
      </c>
      <c r="F31" s="708">
        <v>-305.54000000000002</v>
      </c>
      <c r="G31" s="708">
        <v>0</v>
      </c>
      <c r="H31" s="708">
        <v>0</v>
      </c>
      <c r="I31" s="708">
        <v>-8979.6299999999992</v>
      </c>
      <c r="J31" s="708">
        <v>-1451.06</v>
      </c>
      <c r="K31" s="708">
        <v>0</v>
      </c>
      <c r="L31" s="708">
        <v>0</v>
      </c>
      <c r="O31" s="716"/>
      <c r="P31" s="699"/>
    </row>
    <row r="32" spans="1:16">
      <c r="A32" s="710" t="s">
        <v>1064</v>
      </c>
      <c r="B32" s="710" t="s">
        <v>1065</v>
      </c>
      <c r="C32" s="708">
        <v>-128914.99</v>
      </c>
      <c r="D32" s="708">
        <v>0</v>
      </c>
      <c r="E32" s="708">
        <v>-34605.919999999998</v>
      </c>
      <c r="F32" s="708">
        <v>-29111.98</v>
      </c>
      <c r="G32" s="708">
        <v>-5592.32</v>
      </c>
      <c r="H32" s="708">
        <v>-671.55</v>
      </c>
      <c r="I32" s="708">
        <v>-16362.17</v>
      </c>
      <c r="J32" s="708">
        <v>-37396.400000000001</v>
      </c>
      <c r="K32" s="708">
        <v>-4968.63</v>
      </c>
      <c r="L32" s="708">
        <v>-206.03</v>
      </c>
      <c r="O32" s="716"/>
      <c r="P32" s="699"/>
    </row>
    <row r="33" spans="1:16">
      <c r="A33" s="710" t="s">
        <v>1066</v>
      </c>
      <c r="B33" s="710" t="s">
        <v>1067</v>
      </c>
      <c r="C33" s="708">
        <v>-83367.960000000006</v>
      </c>
      <c r="D33" s="708">
        <v>0</v>
      </c>
      <c r="E33" s="708">
        <v>-2574.96</v>
      </c>
      <c r="F33" s="708">
        <v>-7382.75</v>
      </c>
      <c r="G33" s="708">
        <v>0</v>
      </c>
      <c r="H33" s="708">
        <v>-315.14</v>
      </c>
      <c r="I33" s="708">
        <v>-3015.51</v>
      </c>
      <c r="J33" s="708">
        <v>-37873.51</v>
      </c>
      <c r="K33" s="708">
        <v>-32173.99</v>
      </c>
      <c r="L33" s="708">
        <v>-32.090000000000003</v>
      </c>
      <c r="O33" s="716"/>
      <c r="P33" s="699"/>
    </row>
    <row r="34" spans="1:16" ht="15.75" thickBot="1">
      <c r="A34" s="717" t="s">
        <v>1068</v>
      </c>
      <c r="B34" s="717" t="s">
        <v>1069</v>
      </c>
      <c r="C34" s="718">
        <v>-192252.04</v>
      </c>
      <c r="D34" s="718">
        <v>0</v>
      </c>
      <c r="E34" s="718">
        <v>-9931.08</v>
      </c>
      <c r="F34" s="718">
        <v>-23569.51</v>
      </c>
      <c r="G34" s="718">
        <v>0</v>
      </c>
      <c r="H34" s="718">
        <v>0</v>
      </c>
      <c r="I34" s="718">
        <v>-53600.73</v>
      </c>
      <c r="J34" s="718">
        <v>-35182.550000000003</v>
      </c>
      <c r="K34" s="718">
        <v>-69599.12</v>
      </c>
      <c r="L34" s="718">
        <v>-369.05</v>
      </c>
      <c r="O34" s="716"/>
      <c r="P34" s="699"/>
    </row>
    <row r="35" spans="1:16">
      <c r="A35" s="719"/>
      <c r="B35" s="719"/>
      <c r="C35" s="705"/>
      <c r="D35" s="705"/>
      <c r="E35" s="705"/>
      <c r="F35" s="705"/>
      <c r="G35" s="705"/>
      <c r="H35" s="705"/>
      <c r="I35" s="705"/>
      <c r="J35" s="705"/>
      <c r="K35" s="705"/>
      <c r="L35" s="705"/>
      <c r="P35" s="699"/>
    </row>
    <row r="36" spans="1:16">
      <c r="A36" s="720" t="s">
        <v>1070</v>
      </c>
      <c r="B36" s="720" t="s">
        <v>1071</v>
      </c>
      <c r="C36" s="719"/>
      <c r="D36" s="719"/>
      <c r="E36" s="719"/>
      <c r="F36" s="719"/>
      <c r="G36" s="719"/>
      <c r="H36" s="719"/>
      <c r="I36" s="719"/>
      <c r="J36" s="719"/>
      <c r="K36" s="719"/>
      <c r="L36" s="721"/>
      <c r="P36" s="699"/>
    </row>
    <row r="37" spans="1:16">
      <c r="A37" s="720" t="s">
        <v>1072</v>
      </c>
      <c r="B37" s="720" t="s">
        <v>1073</v>
      </c>
      <c r="C37" s="719"/>
      <c r="D37" s="719"/>
      <c r="E37" s="719"/>
      <c r="F37" s="719"/>
      <c r="G37" s="719"/>
      <c r="H37" s="719"/>
      <c r="I37" s="719"/>
      <c r="J37" s="719"/>
      <c r="K37" s="719"/>
      <c r="L37" s="721"/>
      <c r="P37" s="699"/>
    </row>
    <row r="38" spans="1:16" ht="20.25">
      <c r="A38" s="696"/>
      <c r="B38" s="696"/>
      <c r="D38" s="698"/>
      <c r="O38" s="699"/>
    </row>
    <row r="41" spans="1:16" ht="20.25">
      <c r="A41" s="722"/>
      <c r="B41" s="722"/>
    </row>
    <row r="42" spans="1:16" ht="36" customHeight="1">
      <c r="A42" s="704"/>
      <c r="B42" s="704"/>
      <c r="C42" s="723"/>
      <c r="D42" s="724"/>
      <c r="E42" s="723"/>
      <c r="F42" s="723"/>
      <c r="G42" s="723"/>
      <c r="H42" s="723"/>
      <c r="I42" s="723"/>
      <c r="J42" s="723"/>
      <c r="K42" s="723"/>
      <c r="L42" s="723"/>
      <c r="O42" s="699"/>
    </row>
    <row r="43" spans="1:16">
      <c r="A43" s="704"/>
      <c r="B43" s="704"/>
      <c r="C43" s="704"/>
      <c r="D43" s="705"/>
      <c r="E43" s="706"/>
      <c r="F43" s="704"/>
      <c r="G43" s="704"/>
      <c r="H43" s="704"/>
      <c r="I43" s="704"/>
      <c r="J43" s="704"/>
      <c r="K43" s="704"/>
      <c r="L43" s="704"/>
      <c r="O43" s="699"/>
    </row>
    <row r="44" spans="1:16">
      <c r="A44" s="725"/>
      <c r="B44" s="725"/>
      <c r="C44" s="708"/>
      <c r="D44" s="708"/>
      <c r="E44" s="708"/>
      <c r="F44" s="708"/>
      <c r="G44" s="708"/>
      <c r="H44" s="708"/>
      <c r="I44" s="708"/>
      <c r="J44" s="708"/>
      <c r="K44" s="708"/>
      <c r="L44" s="708"/>
      <c r="M44" s="709"/>
      <c r="O44" s="699"/>
    </row>
    <row r="45" spans="1:16">
      <c r="A45" s="719"/>
      <c r="B45" s="719"/>
      <c r="C45" s="708"/>
      <c r="D45" s="708"/>
      <c r="E45" s="708"/>
      <c r="F45" s="708"/>
      <c r="G45" s="708"/>
      <c r="H45" s="708"/>
      <c r="I45" s="708"/>
      <c r="J45" s="708"/>
      <c r="K45" s="708"/>
      <c r="L45" s="708"/>
      <c r="O45" s="699"/>
      <c r="P45" s="709"/>
    </row>
    <row r="46" spans="1:16">
      <c r="A46" s="719"/>
      <c r="B46" s="719"/>
      <c r="C46" s="708"/>
      <c r="D46" s="708"/>
      <c r="E46" s="708"/>
      <c r="F46" s="708"/>
      <c r="G46" s="708"/>
      <c r="H46" s="708"/>
      <c r="I46" s="708"/>
      <c r="J46" s="708"/>
      <c r="K46" s="708"/>
      <c r="L46" s="708"/>
      <c r="O46" s="699"/>
    </row>
    <row r="47" spans="1:16">
      <c r="A47" s="719"/>
      <c r="B47" s="719"/>
      <c r="C47" s="708"/>
      <c r="D47" s="708"/>
      <c r="E47" s="708"/>
      <c r="F47" s="708"/>
      <c r="G47" s="708"/>
      <c r="H47" s="708"/>
      <c r="I47" s="708"/>
      <c r="J47" s="708"/>
      <c r="K47" s="708"/>
      <c r="L47" s="708"/>
      <c r="O47" s="699"/>
    </row>
    <row r="48" spans="1:16">
      <c r="A48" s="719"/>
      <c r="B48" s="719"/>
      <c r="C48" s="708"/>
      <c r="D48" s="708"/>
      <c r="E48" s="708"/>
      <c r="F48" s="708"/>
      <c r="G48" s="708"/>
      <c r="H48" s="708"/>
      <c r="I48" s="708"/>
      <c r="J48" s="708"/>
      <c r="K48" s="708"/>
      <c r="L48" s="708"/>
      <c r="M48" s="709"/>
      <c r="O48" s="699"/>
    </row>
    <row r="49" spans="1:16">
      <c r="A49" s="719"/>
      <c r="B49" s="719"/>
      <c r="C49" s="708"/>
      <c r="D49" s="708"/>
      <c r="E49" s="708"/>
      <c r="F49" s="708"/>
      <c r="G49" s="708"/>
      <c r="H49" s="708"/>
      <c r="I49" s="708"/>
      <c r="J49" s="708"/>
      <c r="K49" s="708"/>
      <c r="L49" s="708"/>
      <c r="O49" s="699"/>
    </row>
    <row r="50" spans="1:16">
      <c r="A50" s="719"/>
      <c r="B50" s="719"/>
      <c r="C50" s="708"/>
      <c r="D50" s="708"/>
      <c r="E50" s="708"/>
      <c r="F50" s="708"/>
      <c r="G50" s="708"/>
      <c r="H50" s="708"/>
      <c r="I50" s="708"/>
      <c r="J50" s="708"/>
      <c r="K50" s="708"/>
      <c r="L50" s="708"/>
      <c r="O50" s="699"/>
    </row>
    <row r="51" spans="1:16">
      <c r="A51" s="719"/>
      <c r="B51" s="719"/>
      <c r="C51" s="708"/>
      <c r="D51" s="708"/>
      <c r="E51" s="708"/>
      <c r="F51" s="708"/>
      <c r="G51" s="708"/>
      <c r="H51" s="708"/>
      <c r="I51" s="708"/>
      <c r="J51" s="708"/>
      <c r="K51" s="708"/>
      <c r="L51" s="708"/>
      <c r="O51" s="699"/>
    </row>
    <row r="52" spans="1:16">
      <c r="A52" s="719"/>
      <c r="B52" s="719"/>
      <c r="C52" s="708"/>
      <c r="D52" s="708"/>
      <c r="E52" s="708"/>
      <c r="F52" s="708"/>
      <c r="G52" s="708"/>
      <c r="H52" s="708"/>
      <c r="I52" s="708"/>
      <c r="J52" s="708"/>
      <c r="K52" s="708"/>
      <c r="L52" s="708"/>
      <c r="O52" s="699"/>
    </row>
    <row r="53" spans="1:16">
      <c r="A53" s="725"/>
      <c r="B53" s="725"/>
      <c r="C53" s="708"/>
      <c r="D53" s="708"/>
      <c r="E53" s="708"/>
      <c r="F53" s="708"/>
      <c r="G53" s="708"/>
      <c r="H53" s="708"/>
      <c r="I53" s="708"/>
      <c r="J53" s="708"/>
      <c r="K53" s="708"/>
      <c r="L53" s="708"/>
      <c r="N53" s="711"/>
      <c r="O53" s="699"/>
      <c r="P53" s="711"/>
    </row>
    <row r="54" spans="1:16">
      <c r="A54" s="719"/>
      <c r="B54" s="719"/>
      <c r="C54" s="708"/>
      <c r="D54" s="708"/>
      <c r="E54" s="708"/>
      <c r="F54" s="708"/>
      <c r="G54" s="708"/>
      <c r="H54" s="708"/>
      <c r="I54" s="708"/>
      <c r="J54" s="708"/>
      <c r="K54" s="708"/>
      <c r="L54" s="708"/>
      <c r="O54" s="699"/>
    </row>
    <row r="55" spans="1:16">
      <c r="A55" s="726"/>
      <c r="B55" s="726"/>
      <c r="C55" s="708"/>
      <c r="D55" s="708"/>
      <c r="E55" s="708"/>
      <c r="F55" s="708"/>
      <c r="G55" s="708"/>
      <c r="H55" s="708"/>
      <c r="I55" s="708"/>
      <c r="J55" s="708"/>
      <c r="K55" s="708"/>
      <c r="L55" s="708"/>
      <c r="M55" s="713"/>
      <c r="N55" s="713"/>
      <c r="O55" s="699"/>
      <c r="P55" s="713"/>
    </row>
    <row r="56" spans="1:16">
      <c r="A56" s="726"/>
      <c r="B56" s="726"/>
      <c r="C56" s="708"/>
      <c r="D56" s="708"/>
      <c r="E56" s="708"/>
      <c r="F56" s="708"/>
      <c r="G56" s="708"/>
      <c r="H56" s="708"/>
      <c r="I56" s="708"/>
      <c r="J56" s="708"/>
      <c r="K56" s="708"/>
      <c r="L56" s="708"/>
      <c r="M56" s="713"/>
      <c r="N56" s="713"/>
      <c r="O56" s="699"/>
      <c r="P56" s="713"/>
    </row>
    <row r="57" spans="1:16">
      <c r="A57" s="726"/>
      <c r="B57" s="726"/>
      <c r="C57" s="708"/>
      <c r="D57" s="708"/>
      <c r="E57" s="708"/>
      <c r="F57" s="708"/>
      <c r="G57" s="708"/>
      <c r="H57" s="708"/>
      <c r="I57" s="708"/>
      <c r="J57" s="708"/>
      <c r="K57" s="708"/>
      <c r="L57" s="708"/>
      <c r="M57" s="713"/>
      <c r="N57" s="713"/>
      <c r="O57" s="699"/>
      <c r="P57" s="713"/>
    </row>
    <row r="58" spans="1:16">
      <c r="A58" s="725"/>
      <c r="B58" s="725"/>
      <c r="C58" s="708"/>
      <c r="D58" s="708"/>
      <c r="E58" s="708"/>
      <c r="F58" s="708"/>
      <c r="G58" s="708"/>
      <c r="H58" s="708"/>
      <c r="I58" s="708"/>
      <c r="J58" s="708"/>
      <c r="K58" s="708"/>
      <c r="L58" s="708"/>
      <c r="M58" s="714"/>
      <c r="N58" s="709"/>
      <c r="O58" s="699"/>
    </row>
    <row r="59" spans="1:16">
      <c r="A59" s="719"/>
      <c r="B59" s="719"/>
      <c r="C59" s="708"/>
      <c r="D59" s="708"/>
      <c r="E59" s="708"/>
      <c r="F59" s="708"/>
      <c r="G59" s="708"/>
      <c r="H59" s="708"/>
      <c r="I59" s="708"/>
      <c r="J59" s="708"/>
      <c r="K59" s="708"/>
      <c r="L59" s="708"/>
      <c r="M59" s="713"/>
      <c r="N59" s="709"/>
      <c r="O59" s="699"/>
    </row>
    <row r="60" spans="1:16">
      <c r="A60" s="719"/>
      <c r="B60" s="719"/>
      <c r="C60" s="708"/>
      <c r="D60" s="708"/>
      <c r="E60" s="708"/>
      <c r="F60" s="708"/>
      <c r="G60" s="708"/>
      <c r="H60" s="708"/>
      <c r="I60" s="708"/>
      <c r="J60" s="708"/>
      <c r="K60" s="708"/>
      <c r="L60" s="708"/>
      <c r="M60" s="709"/>
      <c r="N60" s="709"/>
      <c r="O60" s="699"/>
    </row>
    <row r="61" spans="1:16">
      <c r="A61" s="719"/>
      <c r="B61" s="719"/>
      <c r="C61" s="708"/>
      <c r="D61" s="708"/>
      <c r="E61" s="708"/>
      <c r="F61" s="708"/>
      <c r="G61" s="708"/>
      <c r="H61" s="708"/>
      <c r="I61" s="708"/>
      <c r="J61" s="708"/>
      <c r="K61" s="708"/>
      <c r="L61" s="708"/>
      <c r="M61" s="709"/>
      <c r="O61" s="715"/>
      <c r="P61" s="699"/>
    </row>
    <row r="62" spans="1:16">
      <c r="A62" s="719"/>
      <c r="B62" s="719"/>
      <c r="C62" s="708"/>
      <c r="D62" s="708"/>
      <c r="E62" s="708"/>
      <c r="F62" s="708"/>
      <c r="G62" s="708"/>
      <c r="H62" s="708"/>
      <c r="I62" s="708"/>
      <c r="J62" s="708"/>
      <c r="K62" s="708"/>
      <c r="L62" s="708"/>
      <c r="M62" s="709"/>
      <c r="O62" s="699"/>
      <c r="P62" s="699"/>
    </row>
    <row r="63" spans="1:16">
      <c r="A63" s="719"/>
      <c r="B63" s="719"/>
      <c r="C63" s="708"/>
      <c r="D63" s="708"/>
      <c r="E63" s="708"/>
      <c r="F63" s="708"/>
      <c r="G63" s="708"/>
      <c r="H63" s="708"/>
      <c r="I63" s="708"/>
      <c r="J63" s="708"/>
      <c r="K63" s="708"/>
      <c r="L63" s="708"/>
      <c r="M63" s="709"/>
      <c r="O63" s="699"/>
      <c r="P63" s="699"/>
    </row>
    <row r="64" spans="1:16">
      <c r="A64" s="719"/>
      <c r="B64" s="719"/>
      <c r="C64" s="708"/>
      <c r="D64" s="708"/>
      <c r="E64" s="708"/>
      <c r="F64" s="708"/>
      <c r="G64" s="708"/>
      <c r="H64" s="708"/>
      <c r="I64" s="708"/>
      <c r="J64" s="708"/>
      <c r="K64" s="708"/>
      <c r="L64" s="708"/>
      <c r="M64" s="709"/>
      <c r="O64" s="699"/>
      <c r="P64" s="699"/>
    </row>
    <row r="65" spans="1:16">
      <c r="A65" s="719"/>
      <c r="B65" s="719"/>
      <c r="C65" s="708"/>
      <c r="D65" s="708"/>
      <c r="E65" s="708"/>
      <c r="F65" s="708"/>
      <c r="G65" s="708"/>
      <c r="H65" s="708"/>
      <c r="I65" s="708"/>
      <c r="J65" s="708"/>
      <c r="K65" s="708"/>
      <c r="L65" s="708"/>
      <c r="M65" s="709"/>
      <c r="O65" s="699"/>
      <c r="P65" s="699"/>
    </row>
    <row r="66" spans="1:16">
      <c r="A66" s="725"/>
      <c r="B66" s="725"/>
      <c r="C66" s="708"/>
      <c r="D66" s="708"/>
      <c r="E66" s="708"/>
      <c r="F66" s="708"/>
      <c r="G66" s="708"/>
      <c r="H66" s="708"/>
      <c r="I66" s="708"/>
      <c r="J66" s="708"/>
      <c r="K66" s="708"/>
      <c r="L66" s="708"/>
      <c r="N66" s="709"/>
      <c r="O66" s="699"/>
      <c r="P66" s="699"/>
    </row>
    <row r="67" spans="1:16">
      <c r="A67" s="725"/>
      <c r="B67" s="725"/>
      <c r="C67" s="708"/>
      <c r="D67" s="708"/>
      <c r="E67" s="708"/>
      <c r="F67" s="708"/>
      <c r="G67" s="708"/>
      <c r="H67" s="708"/>
      <c r="I67" s="708"/>
      <c r="J67" s="708"/>
      <c r="K67" s="708"/>
      <c r="L67" s="708"/>
      <c r="O67" s="699"/>
      <c r="P67" s="699"/>
    </row>
    <row r="68" spans="1:16">
      <c r="A68" s="719"/>
      <c r="B68" s="719"/>
      <c r="C68" s="708"/>
      <c r="D68" s="708"/>
      <c r="E68" s="708"/>
      <c r="F68" s="708"/>
      <c r="G68" s="708"/>
      <c r="H68" s="708"/>
      <c r="I68" s="708"/>
      <c r="J68" s="708"/>
      <c r="K68" s="708"/>
      <c r="L68" s="708"/>
      <c r="P68" s="699"/>
    </row>
    <row r="69" spans="1:16">
      <c r="A69" s="719"/>
      <c r="B69" s="719"/>
      <c r="C69" s="708"/>
      <c r="D69" s="708"/>
      <c r="E69" s="708"/>
      <c r="F69" s="708"/>
      <c r="G69" s="708"/>
      <c r="H69" s="708"/>
      <c r="I69" s="708"/>
      <c r="J69" s="708"/>
      <c r="K69" s="708"/>
      <c r="L69" s="708"/>
      <c r="O69" s="716"/>
      <c r="P69" s="699"/>
    </row>
    <row r="70" spans="1:16">
      <c r="A70" s="719"/>
      <c r="B70" s="719"/>
      <c r="C70" s="708"/>
      <c r="D70" s="708"/>
      <c r="E70" s="708"/>
      <c r="F70" s="708"/>
      <c r="G70" s="708"/>
      <c r="H70" s="708"/>
      <c r="I70" s="708"/>
      <c r="J70" s="708"/>
      <c r="K70" s="708"/>
      <c r="L70" s="708"/>
      <c r="O70" s="716"/>
      <c r="P70" s="699"/>
    </row>
    <row r="71" spans="1:16">
      <c r="A71" s="719"/>
      <c r="B71" s="719"/>
      <c r="C71" s="708"/>
      <c r="D71" s="708"/>
      <c r="E71" s="708"/>
      <c r="F71" s="708"/>
      <c r="G71" s="708"/>
      <c r="H71" s="708"/>
      <c r="I71" s="708"/>
      <c r="J71" s="708"/>
      <c r="K71" s="708"/>
      <c r="L71" s="708"/>
      <c r="O71" s="716"/>
      <c r="P71" s="699"/>
    </row>
    <row r="72" spans="1:16">
      <c r="A72" s="719"/>
      <c r="B72" s="719"/>
      <c r="C72" s="708"/>
      <c r="D72" s="708"/>
      <c r="E72" s="708"/>
      <c r="F72" s="708"/>
      <c r="G72" s="708"/>
      <c r="H72" s="708"/>
      <c r="I72" s="708"/>
      <c r="J72" s="708"/>
      <c r="K72" s="708"/>
      <c r="L72" s="708"/>
      <c r="O72" s="716"/>
      <c r="P72" s="699"/>
    </row>
    <row r="73" spans="1:16">
      <c r="A73" s="719"/>
      <c r="B73" s="719"/>
      <c r="C73" s="705"/>
      <c r="D73" s="705"/>
      <c r="E73" s="705"/>
      <c r="F73" s="705"/>
      <c r="G73" s="705"/>
      <c r="H73" s="705"/>
      <c r="I73" s="705"/>
      <c r="J73" s="705"/>
      <c r="K73" s="705"/>
      <c r="L73" s="705"/>
      <c r="P73" s="69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B2CF-CC2A-4586-A1ED-2E07EB571B06}">
  <sheetPr>
    <tabColor theme="6" tint="0.39997558519241921"/>
  </sheetPr>
  <dimension ref="A1:AW40"/>
  <sheetViews>
    <sheetView zoomScale="80" zoomScaleNormal="80" workbookViewId="0">
      <pane xSplit="2" ySplit="4" topLeftCell="AO5" activePane="bottomRight" state="frozen"/>
      <selection pane="topRight" activeCell="G1" sqref="G1"/>
      <selection pane="bottomLeft" activeCell="A5" sqref="A5"/>
      <selection pane="bottomRight" activeCell="AO23" sqref="AO23"/>
    </sheetView>
  </sheetViews>
  <sheetFormatPr defaultColWidth="8.85546875" defaultRowHeight="15"/>
  <cols>
    <col min="1" max="1" width="42.7109375" style="697" customWidth="1"/>
    <col min="2" max="2" width="45.7109375" style="697" customWidth="1"/>
    <col min="3" max="3" width="10.7109375" style="697" customWidth="1"/>
    <col min="4" max="5" width="10.7109375" style="697" hidden="1" customWidth="1"/>
    <col min="6" max="49" width="10.7109375" style="697" customWidth="1"/>
    <col min="50" max="16384" width="8.85546875" style="697"/>
  </cols>
  <sheetData>
    <row r="1" spans="1:49" ht="20.25">
      <c r="A1" s="727" t="s">
        <v>1074</v>
      </c>
      <c r="B1" s="727" t="s">
        <v>1075</v>
      </c>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13"/>
      <c r="AD1" s="713"/>
      <c r="AE1" s="713"/>
      <c r="AF1" s="713"/>
      <c r="AG1" s="713"/>
      <c r="AH1" s="713"/>
      <c r="AI1" s="713"/>
      <c r="AJ1" s="713"/>
      <c r="AK1" s="713"/>
      <c r="AL1" s="713"/>
      <c r="AM1" s="713"/>
      <c r="AN1" s="713"/>
      <c r="AO1" s="713"/>
      <c r="AP1" s="713"/>
      <c r="AQ1" s="713"/>
      <c r="AR1" s="713"/>
      <c r="AS1" s="713"/>
      <c r="AT1" s="713"/>
      <c r="AU1" s="713"/>
      <c r="AV1" s="713"/>
      <c r="AW1" s="713"/>
    </row>
    <row r="2" spans="1:49" ht="20.25">
      <c r="A2" s="727"/>
      <c r="B2" s="727"/>
      <c r="C2" s="728"/>
      <c r="D2" s="728"/>
      <c r="E2" s="728"/>
      <c r="F2" s="728"/>
      <c r="G2" s="728"/>
      <c r="H2" s="728"/>
      <c r="I2" s="728"/>
      <c r="J2" s="728"/>
      <c r="K2" s="728"/>
      <c r="L2" s="728"/>
      <c r="M2" s="728"/>
      <c r="N2" s="728"/>
      <c r="O2" s="728"/>
      <c r="P2" s="728"/>
      <c r="Q2" s="728"/>
      <c r="R2" s="728"/>
      <c r="S2" s="728"/>
      <c r="T2" s="728"/>
      <c r="U2" s="728"/>
      <c r="V2" s="728"/>
      <c r="W2" s="728"/>
      <c r="X2" s="728"/>
      <c r="Y2" s="728"/>
      <c r="Z2" s="728"/>
      <c r="AA2" s="728"/>
      <c r="AB2" s="728"/>
      <c r="AC2" s="713"/>
      <c r="AD2" s="713"/>
      <c r="AE2" s="713"/>
      <c r="AF2" s="713"/>
      <c r="AG2" s="713"/>
      <c r="AH2" s="713"/>
      <c r="AI2" s="713"/>
      <c r="AJ2" s="713"/>
      <c r="AK2" s="713"/>
      <c r="AL2" s="713"/>
      <c r="AM2" s="713"/>
      <c r="AN2" s="713"/>
      <c r="AO2" s="713"/>
      <c r="AP2" s="713"/>
      <c r="AQ2" s="713"/>
      <c r="AR2" s="713"/>
      <c r="AS2" s="713"/>
      <c r="AT2" s="713"/>
      <c r="AU2" s="713"/>
      <c r="AV2" s="713"/>
      <c r="AW2" s="713"/>
    </row>
    <row r="3" spans="1:49">
      <c r="A3" s="729" t="s">
        <v>1010</v>
      </c>
      <c r="B3" s="729" t="s">
        <v>1076</v>
      </c>
      <c r="C3" s="730">
        <v>1972</v>
      </c>
      <c r="D3" s="730">
        <v>1973</v>
      </c>
      <c r="E3" s="730">
        <v>1974</v>
      </c>
      <c r="F3" s="730">
        <v>1975</v>
      </c>
      <c r="G3" s="730">
        <v>1976</v>
      </c>
      <c r="H3" s="730">
        <v>1977</v>
      </c>
      <c r="I3" s="730">
        <v>1978</v>
      </c>
      <c r="J3" s="730">
        <v>1979</v>
      </c>
      <c r="K3" s="730">
        <v>1980</v>
      </c>
      <c r="L3" s="730">
        <v>1981</v>
      </c>
      <c r="M3" s="730">
        <v>1982</v>
      </c>
      <c r="N3" s="730">
        <v>1983</v>
      </c>
      <c r="O3" s="730">
        <v>1984</v>
      </c>
      <c r="P3" s="730">
        <v>1985</v>
      </c>
      <c r="Q3" s="730">
        <v>1986</v>
      </c>
      <c r="R3" s="730">
        <v>1987</v>
      </c>
      <c r="S3" s="730">
        <v>1988</v>
      </c>
      <c r="T3" s="730">
        <v>1989</v>
      </c>
      <c r="U3" s="730">
        <v>1990</v>
      </c>
      <c r="V3" s="730">
        <v>1991</v>
      </c>
      <c r="W3" s="730">
        <v>1992</v>
      </c>
      <c r="X3" s="730">
        <v>1993</v>
      </c>
      <c r="Y3" s="730">
        <v>1994</v>
      </c>
      <c r="Z3" s="730">
        <v>1995</v>
      </c>
      <c r="AA3" s="730">
        <v>1996</v>
      </c>
      <c r="AB3" s="730">
        <v>1997</v>
      </c>
      <c r="AC3" s="730">
        <v>1998</v>
      </c>
      <c r="AD3" s="730">
        <v>1999</v>
      </c>
      <c r="AE3" s="730">
        <v>2000</v>
      </c>
      <c r="AF3" s="730">
        <v>2001</v>
      </c>
      <c r="AG3" s="730">
        <v>2002</v>
      </c>
      <c r="AH3" s="730">
        <v>2003</v>
      </c>
      <c r="AI3" s="730">
        <v>2004</v>
      </c>
      <c r="AJ3" s="730">
        <v>2005</v>
      </c>
      <c r="AK3" s="730">
        <v>2006</v>
      </c>
      <c r="AL3" s="730">
        <v>2007</v>
      </c>
      <c r="AM3" s="730">
        <v>2008</v>
      </c>
      <c r="AN3" s="730">
        <v>2009</v>
      </c>
      <c r="AO3" s="730">
        <v>2010</v>
      </c>
      <c r="AP3" s="730">
        <v>2011</v>
      </c>
      <c r="AQ3" s="730">
        <v>2012</v>
      </c>
      <c r="AR3" s="730">
        <v>2013</v>
      </c>
      <c r="AS3" s="730">
        <v>2014</v>
      </c>
      <c r="AT3" s="730">
        <v>2015</v>
      </c>
      <c r="AU3" s="730">
        <v>2016</v>
      </c>
      <c r="AV3" s="730">
        <v>2017</v>
      </c>
      <c r="AW3" s="730">
        <v>2018</v>
      </c>
    </row>
    <row r="4" spans="1:49">
      <c r="A4" s="713" t="s">
        <v>1077</v>
      </c>
      <c r="B4" s="713" t="s">
        <v>1078</v>
      </c>
      <c r="C4" s="731"/>
      <c r="D4" s="731"/>
      <c r="E4" s="731"/>
      <c r="F4" s="731"/>
      <c r="G4" s="731"/>
      <c r="H4" s="731"/>
      <c r="I4" s="731"/>
      <c r="J4" s="731"/>
      <c r="K4" s="731"/>
      <c r="L4" s="731"/>
      <c r="M4" s="731"/>
      <c r="N4" s="731"/>
      <c r="O4" s="731"/>
      <c r="P4" s="731"/>
      <c r="Q4" s="731"/>
      <c r="R4" s="731"/>
      <c r="S4" s="731"/>
      <c r="T4" s="731"/>
      <c r="U4" s="731"/>
      <c r="V4" s="731"/>
      <c r="W4" s="731"/>
      <c r="X4" s="731"/>
      <c r="Y4" s="731"/>
      <c r="Z4" s="731"/>
      <c r="AA4" s="731"/>
      <c r="AB4" s="731"/>
      <c r="AC4" s="731"/>
      <c r="AD4" s="731"/>
      <c r="AE4" s="731"/>
      <c r="AF4" s="731"/>
      <c r="AG4" s="731"/>
      <c r="AH4" s="731"/>
      <c r="AI4" s="731"/>
      <c r="AJ4" s="731"/>
      <c r="AK4" s="731"/>
      <c r="AL4" s="731"/>
      <c r="AM4" s="731"/>
      <c r="AN4" s="731"/>
      <c r="AO4" s="731"/>
      <c r="AP4" s="731"/>
      <c r="AQ4" s="731"/>
      <c r="AR4" s="731"/>
      <c r="AS4" s="731"/>
      <c r="AT4" s="731"/>
      <c r="AU4" s="731"/>
      <c r="AV4" s="731"/>
      <c r="AW4" s="731"/>
    </row>
    <row r="5" spans="1:49">
      <c r="A5" s="732" t="s">
        <v>1079</v>
      </c>
      <c r="B5" s="732" t="s">
        <v>1080</v>
      </c>
      <c r="C5" s="733">
        <v>14926.05</v>
      </c>
      <c r="D5" s="733"/>
      <c r="E5" s="733"/>
      <c r="F5" s="733">
        <v>23136.639999999999</v>
      </c>
      <c r="G5" s="733">
        <v>26367.51</v>
      </c>
      <c r="H5" s="733">
        <v>41905.61</v>
      </c>
      <c r="I5" s="733">
        <v>36803.589999999997</v>
      </c>
      <c r="J5" s="733">
        <v>41014.19</v>
      </c>
      <c r="K5" s="733">
        <v>40227.58</v>
      </c>
      <c r="L5" s="733">
        <v>66614.58</v>
      </c>
      <c r="M5" s="733">
        <v>109485.14</v>
      </c>
      <c r="N5" s="733">
        <v>131645.48000000001</v>
      </c>
      <c r="O5" s="733">
        <v>149971.03</v>
      </c>
      <c r="P5" s="733">
        <v>210560.2</v>
      </c>
      <c r="Q5" s="733">
        <v>274753.59999999998</v>
      </c>
      <c r="R5" s="733">
        <v>341827.08</v>
      </c>
      <c r="S5" s="733">
        <v>348341.45</v>
      </c>
      <c r="T5" s="733">
        <v>400084.75</v>
      </c>
      <c r="U5" s="733">
        <v>424361.49</v>
      </c>
      <c r="V5" s="733">
        <v>501202.42</v>
      </c>
      <c r="W5" s="733">
        <v>543227.57999999996</v>
      </c>
      <c r="X5" s="733">
        <v>584143.29</v>
      </c>
      <c r="Y5" s="733">
        <v>634484</v>
      </c>
      <c r="Z5" s="733">
        <v>655294.71999999997</v>
      </c>
      <c r="AA5" s="733">
        <v>742445.46</v>
      </c>
      <c r="AB5" s="733">
        <v>850570.46</v>
      </c>
      <c r="AC5" s="733">
        <v>856772.03</v>
      </c>
      <c r="AD5" s="733">
        <v>999041.27</v>
      </c>
      <c r="AE5" s="733">
        <v>1164525.25</v>
      </c>
      <c r="AF5" s="733">
        <v>1138625.43</v>
      </c>
      <c r="AG5" s="733">
        <v>1198737.7</v>
      </c>
      <c r="AH5" s="733">
        <v>1193772.17</v>
      </c>
      <c r="AI5" s="733">
        <v>1303433.1100000001</v>
      </c>
      <c r="AJ5" s="733">
        <v>1311683.24</v>
      </c>
      <c r="AK5" s="733">
        <v>1238469.01</v>
      </c>
      <c r="AL5" s="733">
        <v>1135508.1499999999</v>
      </c>
      <c r="AM5" s="733">
        <v>1116778.3799999999</v>
      </c>
      <c r="AN5" s="733">
        <v>1004859.48</v>
      </c>
      <c r="AO5" s="733">
        <v>978611.52</v>
      </c>
      <c r="AP5" s="733">
        <v>864937.38</v>
      </c>
      <c r="AQ5" s="733">
        <v>790286.77</v>
      </c>
      <c r="AR5" s="733">
        <v>702877.34</v>
      </c>
      <c r="AS5" s="733">
        <v>679178.87</v>
      </c>
      <c r="AT5" s="733">
        <v>679025.83</v>
      </c>
      <c r="AU5" s="733">
        <v>641602.48</v>
      </c>
      <c r="AV5" s="733">
        <v>658911.85</v>
      </c>
      <c r="AW5" s="733">
        <v>586574.21</v>
      </c>
    </row>
    <row r="6" spans="1:49" ht="30" customHeight="1">
      <c r="A6" s="734" t="s">
        <v>489</v>
      </c>
      <c r="B6" s="734" t="s">
        <v>98</v>
      </c>
      <c r="C6" s="735">
        <v>0</v>
      </c>
      <c r="D6" s="735"/>
      <c r="E6" s="735"/>
      <c r="F6" s="735">
        <v>7414.94</v>
      </c>
      <c r="G6" s="735">
        <v>9692.2999999999993</v>
      </c>
      <c r="H6" s="735">
        <v>25144.959999999999</v>
      </c>
      <c r="I6" s="735">
        <v>18461.39</v>
      </c>
      <c r="J6" s="735">
        <v>18589.07</v>
      </c>
      <c r="K6" s="735">
        <v>12724</v>
      </c>
      <c r="L6" s="735">
        <v>32377.83</v>
      </c>
      <c r="M6" s="735">
        <v>71992.2</v>
      </c>
      <c r="N6" s="735">
        <v>91918.28</v>
      </c>
      <c r="O6" s="735">
        <v>98803.96</v>
      </c>
      <c r="P6" s="735">
        <v>123469.23</v>
      </c>
      <c r="Q6" s="735">
        <v>154620.03</v>
      </c>
      <c r="R6" s="735">
        <v>196484.18</v>
      </c>
      <c r="S6" s="735">
        <v>202144.4</v>
      </c>
      <c r="T6" s="735">
        <v>236154.06</v>
      </c>
      <c r="U6" s="735">
        <v>255958.66</v>
      </c>
      <c r="V6" s="735">
        <v>298602.3</v>
      </c>
      <c r="W6" s="735">
        <v>331178.68</v>
      </c>
      <c r="X6" s="735">
        <v>352919.43</v>
      </c>
      <c r="Y6" s="735">
        <v>389346.93</v>
      </c>
      <c r="Z6" s="735">
        <v>391563.31</v>
      </c>
      <c r="AA6" s="735">
        <v>432220.2</v>
      </c>
      <c r="AB6" s="735">
        <v>479242.01</v>
      </c>
      <c r="AC6" s="735">
        <v>491587.35</v>
      </c>
      <c r="AD6" s="735">
        <v>621996.55000000005</v>
      </c>
      <c r="AE6" s="735">
        <v>764525.68</v>
      </c>
      <c r="AF6" s="735">
        <v>726121.09</v>
      </c>
      <c r="AG6" s="735">
        <v>780149.65</v>
      </c>
      <c r="AH6" s="735">
        <v>780139.67</v>
      </c>
      <c r="AI6" s="735">
        <v>828270.56</v>
      </c>
      <c r="AJ6" s="735">
        <v>796223.69</v>
      </c>
      <c r="AK6" s="735">
        <v>724062.38</v>
      </c>
      <c r="AL6" s="735">
        <v>652260.51</v>
      </c>
      <c r="AM6" s="735">
        <v>603525.07999999996</v>
      </c>
      <c r="AN6" s="735">
        <v>554826.03</v>
      </c>
      <c r="AO6" s="735">
        <v>522732.77</v>
      </c>
      <c r="AP6" s="735">
        <v>470446.66</v>
      </c>
      <c r="AQ6" s="735">
        <v>429139.61</v>
      </c>
      <c r="AR6" s="735">
        <v>373364.96</v>
      </c>
      <c r="AS6" s="735">
        <v>349634.68</v>
      </c>
      <c r="AT6" s="735">
        <v>330661.92</v>
      </c>
      <c r="AU6" s="735">
        <v>297748.08</v>
      </c>
      <c r="AV6" s="735">
        <v>289689.58</v>
      </c>
      <c r="AW6" s="735">
        <v>243628.84</v>
      </c>
    </row>
    <row r="7" spans="1:49">
      <c r="A7" s="736" t="s">
        <v>1081</v>
      </c>
      <c r="B7" s="736" t="s">
        <v>179</v>
      </c>
      <c r="C7" s="737">
        <v>0</v>
      </c>
      <c r="D7" s="737"/>
      <c r="E7" s="737"/>
      <c r="F7" s="737">
        <v>0</v>
      </c>
      <c r="G7" s="737">
        <v>0</v>
      </c>
      <c r="H7" s="737">
        <v>4940.5600000000004</v>
      </c>
      <c r="I7" s="737">
        <v>4366.03</v>
      </c>
      <c r="J7" s="737">
        <v>8395.15</v>
      </c>
      <c r="K7" s="737">
        <v>1516.02</v>
      </c>
      <c r="L7" s="737">
        <v>8854.14</v>
      </c>
      <c r="M7" s="737">
        <v>30745.11</v>
      </c>
      <c r="N7" s="737">
        <v>48738.720000000001</v>
      </c>
      <c r="O7" s="737">
        <v>37410.620000000003</v>
      </c>
      <c r="P7" s="737">
        <v>41441.120000000003</v>
      </c>
      <c r="Q7" s="737">
        <v>35877.949999999997</v>
      </c>
      <c r="R7" s="737">
        <v>74234.850000000006</v>
      </c>
      <c r="S7" s="737">
        <v>83439.94</v>
      </c>
      <c r="T7" s="737">
        <v>96770.84</v>
      </c>
      <c r="U7" s="737">
        <v>118256.92</v>
      </c>
      <c r="V7" s="737">
        <v>181644.6</v>
      </c>
      <c r="W7" s="737">
        <v>189009.24</v>
      </c>
      <c r="X7" s="737">
        <v>218421.73</v>
      </c>
      <c r="Y7" s="737">
        <v>252323.27</v>
      </c>
      <c r="Z7" s="737">
        <v>202957.37</v>
      </c>
      <c r="AA7" s="737">
        <v>223787.63</v>
      </c>
      <c r="AB7" s="737">
        <v>302271.34000000003</v>
      </c>
      <c r="AC7" s="737">
        <v>356384.47</v>
      </c>
      <c r="AD7" s="737">
        <v>473626.55</v>
      </c>
      <c r="AE7" s="737">
        <v>575964.57999999996</v>
      </c>
      <c r="AF7" s="737">
        <v>513159.59</v>
      </c>
      <c r="AG7" s="737">
        <v>590239.06999999995</v>
      </c>
      <c r="AH7" s="737">
        <v>574098.98</v>
      </c>
      <c r="AI7" s="737">
        <v>642420.56000000006</v>
      </c>
      <c r="AJ7" s="737">
        <v>585939.63</v>
      </c>
      <c r="AK7" s="737">
        <v>497478.95</v>
      </c>
      <c r="AL7" s="737">
        <v>404314.81</v>
      </c>
      <c r="AM7" s="737">
        <v>372225.33</v>
      </c>
      <c r="AN7" s="737">
        <v>367920.17</v>
      </c>
      <c r="AO7" s="737">
        <v>331207.28999999998</v>
      </c>
      <c r="AP7" s="737">
        <v>312799.89</v>
      </c>
      <c r="AQ7" s="737">
        <v>260541.99</v>
      </c>
      <c r="AR7" s="737">
        <v>265074.92</v>
      </c>
      <c r="AS7" s="737">
        <v>206404.43</v>
      </c>
      <c r="AT7" s="737">
        <v>194505.86</v>
      </c>
      <c r="AU7" s="737">
        <v>166713.97</v>
      </c>
      <c r="AV7" s="737">
        <v>176198.48</v>
      </c>
      <c r="AW7" s="737">
        <v>120770.02</v>
      </c>
    </row>
    <row r="8" spans="1:49">
      <c r="A8" s="736" t="s">
        <v>1082</v>
      </c>
      <c r="B8" s="736" t="s">
        <v>1083</v>
      </c>
      <c r="C8" s="737">
        <v>0</v>
      </c>
      <c r="D8" s="737"/>
      <c r="E8" s="737"/>
      <c r="F8" s="737">
        <v>7414.94</v>
      </c>
      <c r="G8" s="737">
        <v>9692.2999999999993</v>
      </c>
      <c r="H8" s="737">
        <v>20204.400000000001</v>
      </c>
      <c r="I8" s="737">
        <v>14095.36</v>
      </c>
      <c r="J8" s="737">
        <v>10193.92</v>
      </c>
      <c r="K8" s="737">
        <v>11207.98</v>
      </c>
      <c r="L8" s="737">
        <v>23523.69</v>
      </c>
      <c r="M8" s="737">
        <v>41247.089999999997</v>
      </c>
      <c r="N8" s="737">
        <v>43179.56</v>
      </c>
      <c r="O8" s="737">
        <v>61393.33</v>
      </c>
      <c r="P8" s="737">
        <v>82028.11</v>
      </c>
      <c r="Q8" s="737">
        <v>118742.08</v>
      </c>
      <c r="R8" s="737">
        <v>122249.33</v>
      </c>
      <c r="S8" s="737">
        <v>118704.46</v>
      </c>
      <c r="T8" s="737">
        <v>139383.22</v>
      </c>
      <c r="U8" s="737">
        <v>137701.74</v>
      </c>
      <c r="V8" s="737">
        <v>116957.69</v>
      </c>
      <c r="W8" s="737">
        <v>142169.44</v>
      </c>
      <c r="X8" s="737">
        <v>134497.70000000001</v>
      </c>
      <c r="Y8" s="737">
        <v>137023.66</v>
      </c>
      <c r="Z8" s="737">
        <v>188605.94</v>
      </c>
      <c r="AA8" s="737">
        <v>208432.58</v>
      </c>
      <c r="AB8" s="737">
        <v>176970.67</v>
      </c>
      <c r="AC8" s="737">
        <v>135202.88</v>
      </c>
      <c r="AD8" s="737">
        <v>148370</v>
      </c>
      <c r="AE8" s="737">
        <v>188561.11</v>
      </c>
      <c r="AF8" s="737">
        <v>212961.5</v>
      </c>
      <c r="AG8" s="737">
        <v>189910.58</v>
      </c>
      <c r="AH8" s="737">
        <v>206040.69</v>
      </c>
      <c r="AI8" s="737">
        <v>185850</v>
      </c>
      <c r="AJ8" s="737">
        <v>210284.06</v>
      </c>
      <c r="AK8" s="737">
        <v>226583.43</v>
      </c>
      <c r="AL8" s="737">
        <v>247945.7</v>
      </c>
      <c r="AM8" s="737">
        <v>231299.75</v>
      </c>
      <c r="AN8" s="737">
        <v>186905.86</v>
      </c>
      <c r="AO8" s="737">
        <v>191525.48</v>
      </c>
      <c r="AP8" s="737">
        <v>157646.76999999999</v>
      </c>
      <c r="AQ8" s="737">
        <v>168597.63</v>
      </c>
      <c r="AR8" s="737">
        <v>108290.04</v>
      </c>
      <c r="AS8" s="737">
        <v>143230.25</v>
      </c>
      <c r="AT8" s="737">
        <v>136156.06</v>
      </c>
      <c r="AU8" s="737">
        <v>131034.12</v>
      </c>
      <c r="AV8" s="737">
        <v>113491.1</v>
      </c>
      <c r="AW8" s="737">
        <v>122858.83</v>
      </c>
    </row>
    <row r="9" spans="1:49" ht="30" customHeight="1">
      <c r="A9" s="734" t="s">
        <v>483</v>
      </c>
      <c r="B9" s="734" t="s">
        <v>60</v>
      </c>
      <c r="C9" s="735">
        <v>7.72</v>
      </c>
      <c r="D9" s="735"/>
      <c r="E9" s="735"/>
      <c r="F9" s="735">
        <v>15.17</v>
      </c>
      <c r="G9" s="735">
        <v>10.76</v>
      </c>
      <c r="H9" s="735">
        <v>20.51</v>
      </c>
      <c r="I9" s="735">
        <v>17.59</v>
      </c>
      <c r="J9" s="735">
        <v>19.190000000000001</v>
      </c>
      <c r="K9" s="735">
        <v>16.77</v>
      </c>
      <c r="L9" s="735">
        <v>813.81</v>
      </c>
      <c r="M9" s="735">
        <v>1265.8699999999999</v>
      </c>
      <c r="N9" s="735">
        <v>1572.06</v>
      </c>
      <c r="O9" s="735">
        <v>11072.91</v>
      </c>
      <c r="P9" s="735">
        <v>45664.79</v>
      </c>
      <c r="Q9" s="735">
        <v>75315.960000000006</v>
      </c>
      <c r="R9" s="735">
        <v>96828.41</v>
      </c>
      <c r="S9" s="735">
        <v>97110.34</v>
      </c>
      <c r="T9" s="735">
        <v>113576.84</v>
      </c>
      <c r="U9" s="735">
        <v>115966.89</v>
      </c>
      <c r="V9" s="735">
        <v>145712.24</v>
      </c>
      <c r="W9" s="735">
        <v>151778.38</v>
      </c>
      <c r="X9" s="735">
        <v>167790.61</v>
      </c>
      <c r="Y9" s="735">
        <v>181802.23999999999</v>
      </c>
      <c r="Z9" s="735">
        <v>196852</v>
      </c>
      <c r="AA9" s="735">
        <v>239199.48</v>
      </c>
      <c r="AB9" s="735">
        <v>295052.40000000002</v>
      </c>
      <c r="AC9" s="735">
        <v>286141.81</v>
      </c>
      <c r="AD9" s="735">
        <v>294071.23</v>
      </c>
      <c r="AE9" s="735">
        <v>310306.8</v>
      </c>
      <c r="AF9" s="735">
        <v>317755.68</v>
      </c>
      <c r="AG9" s="735">
        <v>318323.53999999998</v>
      </c>
      <c r="AH9" s="735">
        <v>301555.94</v>
      </c>
      <c r="AI9" s="735">
        <v>355529.91</v>
      </c>
      <c r="AJ9" s="735">
        <v>392868.34</v>
      </c>
      <c r="AK9" s="735">
        <v>390346.52</v>
      </c>
      <c r="AL9" s="735">
        <v>346146.14</v>
      </c>
      <c r="AM9" s="735">
        <v>377549.67</v>
      </c>
      <c r="AN9" s="735">
        <v>314990.28000000003</v>
      </c>
      <c r="AO9" s="735">
        <v>307424.78999999998</v>
      </c>
      <c r="AP9" s="735">
        <v>246591.87</v>
      </c>
      <c r="AQ9" s="735">
        <v>216000.2</v>
      </c>
      <c r="AR9" s="735">
        <v>179274.69</v>
      </c>
      <c r="AS9" s="735">
        <v>173259.03</v>
      </c>
      <c r="AT9" s="735">
        <v>173509.95</v>
      </c>
      <c r="AU9" s="735">
        <v>169735.49</v>
      </c>
      <c r="AV9" s="735">
        <v>182142.42</v>
      </c>
      <c r="AW9" s="735">
        <v>155071.34</v>
      </c>
    </row>
    <row r="10" spans="1:49">
      <c r="A10" s="736" t="s">
        <v>1084</v>
      </c>
      <c r="B10" s="736" t="s">
        <v>1085</v>
      </c>
      <c r="C10" s="737">
        <v>7.72</v>
      </c>
      <c r="D10" s="737"/>
      <c r="E10" s="737"/>
      <c r="F10" s="737">
        <v>15.17</v>
      </c>
      <c r="G10" s="737">
        <v>10.76</v>
      </c>
      <c r="H10" s="737">
        <v>20.51</v>
      </c>
      <c r="I10" s="737">
        <v>17.59</v>
      </c>
      <c r="J10" s="737">
        <v>19.190000000000001</v>
      </c>
      <c r="K10" s="737">
        <v>16.77</v>
      </c>
      <c r="L10" s="737">
        <v>813.81</v>
      </c>
      <c r="M10" s="737">
        <v>1265.8699999999999</v>
      </c>
      <c r="N10" s="737">
        <v>1572.06</v>
      </c>
      <c r="O10" s="737">
        <v>2487.86</v>
      </c>
      <c r="P10" s="737">
        <v>4150.76</v>
      </c>
      <c r="Q10" s="737">
        <v>5210.3</v>
      </c>
      <c r="R10" s="737">
        <v>7390.84</v>
      </c>
      <c r="S10" s="737">
        <v>8805.41</v>
      </c>
      <c r="T10" s="737">
        <v>9131.49</v>
      </c>
      <c r="U10" s="737">
        <v>9132.51</v>
      </c>
      <c r="V10" s="737">
        <v>9353.2999999999993</v>
      </c>
      <c r="W10" s="737">
        <v>10768.93</v>
      </c>
      <c r="X10" s="737">
        <v>10885.71</v>
      </c>
      <c r="Y10" s="737">
        <v>11995.02</v>
      </c>
      <c r="Z10" s="737">
        <v>12583.48</v>
      </c>
      <c r="AA10" s="737">
        <v>14986.76</v>
      </c>
      <c r="AB10" s="737">
        <v>19580.05</v>
      </c>
      <c r="AC10" s="737">
        <v>21762.33</v>
      </c>
      <c r="AD10" s="737">
        <v>23696.39</v>
      </c>
      <c r="AE10" s="737">
        <v>25191.77</v>
      </c>
      <c r="AF10" s="737">
        <v>24533.05</v>
      </c>
      <c r="AG10" s="737">
        <v>26312.98</v>
      </c>
      <c r="AH10" s="737">
        <v>26350.67</v>
      </c>
      <c r="AI10" s="737">
        <v>27171.7</v>
      </c>
      <c r="AJ10" s="737">
        <v>27959.52</v>
      </c>
      <c r="AK10" s="737">
        <v>28493.21</v>
      </c>
      <c r="AL10" s="737">
        <v>28243.43</v>
      </c>
      <c r="AM10" s="737">
        <v>27999.65</v>
      </c>
      <c r="AN10" s="737">
        <v>26380.25</v>
      </c>
      <c r="AO10" s="737">
        <v>25963.22</v>
      </c>
      <c r="AP10" s="737">
        <v>24691.22</v>
      </c>
      <c r="AQ10" s="737">
        <v>25019.919999999998</v>
      </c>
      <c r="AR10" s="737">
        <v>23416.67</v>
      </c>
      <c r="AS10" s="737">
        <v>23023.02</v>
      </c>
      <c r="AT10" s="737">
        <v>24081.83</v>
      </c>
      <c r="AU10" s="737">
        <v>21932.83</v>
      </c>
      <c r="AV10" s="737">
        <v>22768.799999999999</v>
      </c>
      <c r="AW10" s="737">
        <v>20987.38</v>
      </c>
    </row>
    <row r="11" spans="1:49">
      <c r="A11" s="736" t="s">
        <v>1081</v>
      </c>
      <c r="B11" s="736" t="s">
        <v>179</v>
      </c>
      <c r="C11" s="737">
        <v>0</v>
      </c>
      <c r="D11" s="737"/>
      <c r="E11" s="737"/>
      <c r="F11" s="737">
        <v>0</v>
      </c>
      <c r="G11" s="737">
        <v>0</v>
      </c>
      <c r="H11" s="737">
        <v>0</v>
      </c>
      <c r="I11" s="737">
        <v>0</v>
      </c>
      <c r="J11" s="737">
        <v>0</v>
      </c>
      <c r="K11" s="737">
        <v>0</v>
      </c>
      <c r="L11" s="737">
        <v>0</v>
      </c>
      <c r="M11" s="737">
        <v>0</v>
      </c>
      <c r="N11" s="737">
        <v>0</v>
      </c>
      <c r="O11" s="737">
        <v>5128.54</v>
      </c>
      <c r="P11" s="737">
        <v>16561.55</v>
      </c>
      <c r="Q11" s="737">
        <v>22655.08</v>
      </c>
      <c r="R11" s="737">
        <v>27856.2</v>
      </c>
      <c r="S11" s="737">
        <v>30873.47</v>
      </c>
      <c r="T11" s="737">
        <v>34356.620000000003</v>
      </c>
      <c r="U11" s="737">
        <v>38855.07</v>
      </c>
      <c r="V11" s="737">
        <v>52405.82</v>
      </c>
      <c r="W11" s="737">
        <v>57461.27</v>
      </c>
      <c r="X11" s="737">
        <v>60425.24</v>
      </c>
      <c r="Y11" s="737">
        <v>62827.54</v>
      </c>
      <c r="Z11" s="737">
        <v>62649.16</v>
      </c>
      <c r="AA11" s="737">
        <v>71414.789999999994</v>
      </c>
      <c r="AB11" s="737">
        <v>116866.79</v>
      </c>
      <c r="AC11" s="737">
        <v>105422.16</v>
      </c>
      <c r="AD11" s="737">
        <v>107498.41</v>
      </c>
      <c r="AE11" s="737">
        <v>120678.32</v>
      </c>
      <c r="AF11" s="737">
        <v>127881.21</v>
      </c>
      <c r="AG11" s="737">
        <v>124953.44</v>
      </c>
      <c r="AH11" s="737">
        <v>108622.54</v>
      </c>
      <c r="AI11" s="737">
        <v>154549.78</v>
      </c>
      <c r="AJ11" s="737">
        <v>209777.32</v>
      </c>
      <c r="AK11" s="737">
        <v>196275.20000000001</v>
      </c>
      <c r="AL11" s="737">
        <v>169540.07</v>
      </c>
      <c r="AM11" s="737">
        <v>206436.59</v>
      </c>
      <c r="AN11" s="737">
        <v>149864.84</v>
      </c>
      <c r="AO11" s="737">
        <v>132208.57999999999</v>
      </c>
      <c r="AP11" s="737">
        <v>117050.72</v>
      </c>
      <c r="AQ11" s="737">
        <v>111918.63</v>
      </c>
      <c r="AR11" s="737">
        <v>82638.62</v>
      </c>
      <c r="AS11" s="737">
        <v>78439.210000000006</v>
      </c>
      <c r="AT11" s="737">
        <v>82349.5</v>
      </c>
      <c r="AU11" s="737">
        <v>79416.399999999994</v>
      </c>
      <c r="AV11" s="737">
        <v>84035.97</v>
      </c>
      <c r="AW11" s="737">
        <v>57669.02</v>
      </c>
    </row>
    <row r="12" spans="1:49">
      <c r="A12" s="736" t="s">
        <v>1086</v>
      </c>
      <c r="B12" s="736" t="s">
        <v>1087</v>
      </c>
      <c r="C12" s="737">
        <v>0</v>
      </c>
      <c r="D12" s="737"/>
      <c r="E12" s="737"/>
      <c r="F12" s="737">
        <v>0</v>
      </c>
      <c r="G12" s="737">
        <v>0</v>
      </c>
      <c r="H12" s="737">
        <v>0</v>
      </c>
      <c r="I12" s="737">
        <v>0</v>
      </c>
      <c r="J12" s="737">
        <v>0</v>
      </c>
      <c r="K12" s="737">
        <v>0</v>
      </c>
      <c r="L12" s="737">
        <v>0</v>
      </c>
      <c r="M12" s="737">
        <v>0</v>
      </c>
      <c r="N12" s="737">
        <v>0</v>
      </c>
      <c r="O12" s="737">
        <v>3456.51</v>
      </c>
      <c r="P12" s="737">
        <v>24952.48</v>
      </c>
      <c r="Q12" s="737">
        <v>47450.58</v>
      </c>
      <c r="R12" s="737">
        <v>61581.37</v>
      </c>
      <c r="S12" s="737">
        <v>57431.46</v>
      </c>
      <c r="T12" s="737">
        <v>70088.73</v>
      </c>
      <c r="U12" s="737">
        <v>67979.3</v>
      </c>
      <c r="V12" s="737">
        <v>83953.13</v>
      </c>
      <c r="W12" s="737">
        <v>83548.179999999993</v>
      </c>
      <c r="X12" s="737">
        <v>96479.65</v>
      </c>
      <c r="Y12" s="737">
        <v>106979.68</v>
      </c>
      <c r="Z12" s="737">
        <v>121619.36</v>
      </c>
      <c r="AA12" s="737">
        <v>152797.93</v>
      </c>
      <c r="AB12" s="737">
        <v>158605.54999999999</v>
      </c>
      <c r="AC12" s="737">
        <v>158957.32</v>
      </c>
      <c r="AD12" s="737">
        <v>162876.43</v>
      </c>
      <c r="AE12" s="737">
        <v>164436.71</v>
      </c>
      <c r="AF12" s="737">
        <v>165341.41</v>
      </c>
      <c r="AG12" s="737">
        <v>167057.12</v>
      </c>
      <c r="AH12" s="737">
        <v>166582.72</v>
      </c>
      <c r="AI12" s="737">
        <v>173808.43</v>
      </c>
      <c r="AJ12" s="737">
        <v>155131.49</v>
      </c>
      <c r="AK12" s="737">
        <v>165578.12</v>
      </c>
      <c r="AL12" s="737">
        <v>148362.64000000001</v>
      </c>
      <c r="AM12" s="737">
        <v>143113.43</v>
      </c>
      <c r="AN12" s="737">
        <v>138745.18</v>
      </c>
      <c r="AO12" s="737">
        <v>149252.99</v>
      </c>
      <c r="AP12" s="737">
        <v>104849.94</v>
      </c>
      <c r="AQ12" s="737">
        <v>79061.649999999994</v>
      </c>
      <c r="AR12" s="737">
        <v>73219.399999999994</v>
      </c>
      <c r="AS12" s="737">
        <v>71796.789999999994</v>
      </c>
      <c r="AT12" s="737">
        <v>67078.62</v>
      </c>
      <c r="AU12" s="737">
        <v>68386.259999999995</v>
      </c>
      <c r="AV12" s="737">
        <v>75337.64</v>
      </c>
      <c r="AW12" s="737">
        <v>76414.94</v>
      </c>
    </row>
    <row r="13" spans="1:49" ht="30" customHeight="1">
      <c r="A13" s="734" t="s">
        <v>999</v>
      </c>
      <c r="B13" s="734" t="s">
        <v>1088</v>
      </c>
      <c r="C13" s="735">
        <v>11138.33</v>
      </c>
      <c r="D13" s="735"/>
      <c r="E13" s="735"/>
      <c r="F13" s="735">
        <v>11548.53</v>
      </c>
      <c r="G13" s="735">
        <v>12128.44</v>
      </c>
      <c r="H13" s="735">
        <v>12204.13</v>
      </c>
      <c r="I13" s="735">
        <v>13788.62</v>
      </c>
      <c r="J13" s="735">
        <v>17643.13</v>
      </c>
      <c r="K13" s="735">
        <v>22699.45</v>
      </c>
      <c r="L13" s="735">
        <v>28356.43</v>
      </c>
      <c r="M13" s="735">
        <v>30879.72</v>
      </c>
      <c r="N13" s="735">
        <v>32497.29</v>
      </c>
      <c r="O13" s="735">
        <v>34194.71</v>
      </c>
      <c r="P13" s="735">
        <v>35201</v>
      </c>
      <c r="Q13" s="735">
        <v>38352.94</v>
      </c>
      <c r="R13" s="735">
        <v>42057.53</v>
      </c>
      <c r="S13" s="735">
        <v>42577.279999999999</v>
      </c>
      <c r="T13" s="735">
        <v>43547.38</v>
      </c>
      <c r="U13" s="735">
        <v>45461.38</v>
      </c>
      <c r="V13" s="735">
        <v>49353.07</v>
      </c>
      <c r="W13" s="735">
        <v>52261.75</v>
      </c>
      <c r="X13" s="735">
        <v>54698.8</v>
      </c>
      <c r="Y13" s="735">
        <v>54194.27</v>
      </c>
      <c r="Z13" s="735">
        <v>56571.56</v>
      </c>
      <c r="AA13" s="735">
        <v>59797.18</v>
      </c>
      <c r="AB13" s="735">
        <v>64229.52</v>
      </c>
      <c r="AC13" s="735">
        <v>67076.990000000005</v>
      </c>
      <c r="AD13" s="735">
        <v>69861.240000000005</v>
      </c>
      <c r="AE13" s="735">
        <v>76016.490000000005</v>
      </c>
      <c r="AF13" s="735">
        <v>80243.509999999995</v>
      </c>
      <c r="AG13" s="735">
        <v>85021.08</v>
      </c>
      <c r="AH13" s="735">
        <v>95607.02</v>
      </c>
      <c r="AI13" s="735">
        <v>102859.84</v>
      </c>
      <c r="AJ13" s="735">
        <v>105584.87</v>
      </c>
      <c r="AK13" s="735">
        <v>106768.49</v>
      </c>
      <c r="AL13" s="735">
        <v>119212.37</v>
      </c>
      <c r="AM13" s="735">
        <v>117024.42</v>
      </c>
      <c r="AN13" s="735">
        <v>117338.16</v>
      </c>
      <c r="AO13" s="735">
        <v>131306.01</v>
      </c>
      <c r="AP13" s="735">
        <v>130606.53</v>
      </c>
      <c r="AQ13" s="735">
        <v>129118.23</v>
      </c>
      <c r="AR13" s="735">
        <v>134517.04999999999</v>
      </c>
      <c r="AS13" s="735">
        <v>140414.10999999999</v>
      </c>
      <c r="AT13" s="735">
        <v>159188.53</v>
      </c>
      <c r="AU13" s="735">
        <v>158697.12</v>
      </c>
      <c r="AV13" s="735">
        <v>171056.01</v>
      </c>
      <c r="AW13" s="735">
        <v>172770.94</v>
      </c>
    </row>
    <row r="14" spans="1:49">
      <c r="A14" s="736" t="s">
        <v>1089</v>
      </c>
      <c r="B14" s="736" t="s">
        <v>173</v>
      </c>
      <c r="C14" s="737">
        <v>0</v>
      </c>
      <c r="D14" s="737"/>
      <c r="E14" s="737"/>
      <c r="F14" s="737">
        <v>0</v>
      </c>
      <c r="G14" s="737">
        <v>0</v>
      </c>
      <c r="H14" s="737">
        <v>0</v>
      </c>
      <c r="I14" s="737">
        <v>0</v>
      </c>
      <c r="J14" s="737">
        <v>0</v>
      </c>
      <c r="K14" s="737">
        <v>0</v>
      </c>
      <c r="L14" s="737">
        <v>0</v>
      </c>
      <c r="M14" s="737">
        <v>0</v>
      </c>
      <c r="N14" s="737">
        <v>0</v>
      </c>
      <c r="O14" s="737">
        <v>0</v>
      </c>
      <c r="P14" s="737">
        <v>0</v>
      </c>
      <c r="Q14" s="737">
        <v>0</v>
      </c>
      <c r="R14" s="737">
        <v>0</v>
      </c>
      <c r="S14" s="737">
        <v>0</v>
      </c>
      <c r="T14" s="737">
        <v>0</v>
      </c>
      <c r="U14" s="737">
        <v>0</v>
      </c>
      <c r="V14" s="737">
        <v>0</v>
      </c>
      <c r="W14" s="737">
        <v>0</v>
      </c>
      <c r="X14" s="737">
        <v>0</v>
      </c>
      <c r="Y14" s="737">
        <v>111.43</v>
      </c>
      <c r="Z14" s="737">
        <v>233.21</v>
      </c>
      <c r="AA14" s="737">
        <v>486.33</v>
      </c>
      <c r="AB14" s="737">
        <v>605.70000000000005</v>
      </c>
      <c r="AC14" s="737">
        <v>806.71</v>
      </c>
      <c r="AD14" s="737">
        <v>1510.11</v>
      </c>
      <c r="AE14" s="737">
        <v>2465.85</v>
      </c>
      <c r="AF14" s="737">
        <v>5614.87</v>
      </c>
      <c r="AG14" s="737">
        <v>7404.17</v>
      </c>
      <c r="AH14" s="737">
        <v>10088.469999999999</v>
      </c>
      <c r="AI14" s="737">
        <v>14091.07</v>
      </c>
      <c r="AJ14" s="737">
        <v>18917.919999999998</v>
      </c>
      <c r="AK14" s="737">
        <v>19865.849999999999</v>
      </c>
      <c r="AL14" s="737">
        <v>20889.77</v>
      </c>
      <c r="AM14" s="737">
        <v>25674.75</v>
      </c>
      <c r="AN14" s="737">
        <v>27557.46</v>
      </c>
      <c r="AO14" s="737">
        <v>39483.440000000002</v>
      </c>
      <c r="AP14" s="737">
        <v>45503.22</v>
      </c>
      <c r="AQ14" s="737">
        <v>52773.47</v>
      </c>
      <c r="AR14" s="737">
        <v>53657.2</v>
      </c>
      <c r="AS14" s="737">
        <v>56309.94</v>
      </c>
      <c r="AT14" s="737">
        <v>52586.09</v>
      </c>
      <c r="AU14" s="737">
        <v>60572.24</v>
      </c>
      <c r="AV14" s="737">
        <v>76524.89</v>
      </c>
      <c r="AW14" s="737">
        <v>75646.28</v>
      </c>
    </row>
    <row r="15" spans="1:49">
      <c r="A15" s="736" t="s">
        <v>1081</v>
      </c>
      <c r="B15" s="736" t="s">
        <v>179</v>
      </c>
      <c r="C15" s="737">
        <v>0</v>
      </c>
      <c r="D15" s="737"/>
      <c r="E15" s="737"/>
      <c r="F15" s="737">
        <v>0</v>
      </c>
      <c r="G15" s="737">
        <v>0</v>
      </c>
      <c r="H15" s="737">
        <v>0</v>
      </c>
      <c r="I15" s="737">
        <v>0</v>
      </c>
      <c r="J15" s="737">
        <v>0</v>
      </c>
      <c r="K15" s="737">
        <v>0</v>
      </c>
      <c r="L15" s="737">
        <v>0</v>
      </c>
      <c r="M15" s="737">
        <v>0</v>
      </c>
      <c r="N15" s="737">
        <v>0</v>
      </c>
      <c r="O15" s="737">
        <v>0</v>
      </c>
      <c r="P15" s="737">
        <v>0</v>
      </c>
      <c r="Q15" s="737">
        <v>0</v>
      </c>
      <c r="R15" s="737">
        <v>0</v>
      </c>
      <c r="S15" s="737">
        <v>0</v>
      </c>
      <c r="T15" s="737">
        <v>0</v>
      </c>
      <c r="U15" s="737">
        <v>0</v>
      </c>
      <c r="V15" s="737">
        <v>0</v>
      </c>
      <c r="W15" s="737">
        <v>0</v>
      </c>
      <c r="X15" s="737">
        <v>0</v>
      </c>
      <c r="Y15" s="737">
        <v>0</v>
      </c>
      <c r="Z15" s="737">
        <v>0</v>
      </c>
      <c r="AA15" s="737">
        <v>0</v>
      </c>
      <c r="AB15" s="737">
        <v>0</v>
      </c>
      <c r="AC15" s="737">
        <v>0</v>
      </c>
      <c r="AD15" s="737">
        <v>0</v>
      </c>
      <c r="AE15" s="737">
        <v>0</v>
      </c>
      <c r="AF15" s="737">
        <v>940</v>
      </c>
      <c r="AG15" s="737">
        <v>1504</v>
      </c>
      <c r="AH15" s="737">
        <v>1692</v>
      </c>
      <c r="AI15" s="737">
        <v>2444</v>
      </c>
      <c r="AJ15" s="737">
        <v>2632</v>
      </c>
      <c r="AK15" s="737">
        <v>2632</v>
      </c>
      <c r="AL15" s="737">
        <v>2632</v>
      </c>
      <c r="AM15" s="737">
        <v>3660.75</v>
      </c>
      <c r="AN15" s="737">
        <v>3122.25</v>
      </c>
      <c r="AO15" s="737">
        <v>2845.8</v>
      </c>
      <c r="AP15" s="737">
        <v>1996.01</v>
      </c>
      <c r="AQ15" s="737">
        <v>1695.68</v>
      </c>
      <c r="AR15" s="737">
        <v>1422.83</v>
      </c>
      <c r="AS15" s="737">
        <v>1503.02</v>
      </c>
      <c r="AT15" s="737">
        <v>1084.3499999999999</v>
      </c>
      <c r="AU15" s="737">
        <v>1203.3800000000001</v>
      </c>
      <c r="AV15" s="737">
        <v>1765.24</v>
      </c>
      <c r="AW15" s="737">
        <v>2115.5300000000002</v>
      </c>
    </row>
    <row r="16" spans="1:49">
      <c r="A16" s="736" t="s">
        <v>1090</v>
      </c>
      <c r="B16" s="736" t="s">
        <v>1091</v>
      </c>
      <c r="C16" s="737">
        <v>11138.33</v>
      </c>
      <c r="D16" s="737"/>
      <c r="E16" s="737"/>
      <c r="F16" s="737">
        <v>11548.53</v>
      </c>
      <c r="G16" s="737">
        <v>12128.44</v>
      </c>
      <c r="H16" s="737">
        <v>12204.13</v>
      </c>
      <c r="I16" s="737">
        <v>13788.62</v>
      </c>
      <c r="J16" s="737">
        <v>17643.13</v>
      </c>
      <c r="K16" s="737">
        <v>22699.45</v>
      </c>
      <c r="L16" s="737">
        <v>28356.43</v>
      </c>
      <c r="M16" s="737">
        <v>30879.72</v>
      </c>
      <c r="N16" s="737">
        <v>32497.29</v>
      </c>
      <c r="O16" s="737">
        <v>34194.71</v>
      </c>
      <c r="P16" s="737">
        <v>35201</v>
      </c>
      <c r="Q16" s="737">
        <v>38352.94</v>
      </c>
      <c r="R16" s="737">
        <v>42057.53</v>
      </c>
      <c r="S16" s="737">
        <v>42577.279999999999</v>
      </c>
      <c r="T16" s="737">
        <v>43547.38</v>
      </c>
      <c r="U16" s="737">
        <v>45461.38</v>
      </c>
      <c r="V16" s="737">
        <v>49353.07</v>
      </c>
      <c r="W16" s="737">
        <v>52261.75</v>
      </c>
      <c r="X16" s="737">
        <v>54698.8</v>
      </c>
      <c r="Y16" s="737">
        <v>54305.7</v>
      </c>
      <c r="Z16" s="737">
        <v>56804.77</v>
      </c>
      <c r="AA16" s="737">
        <v>60283.51</v>
      </c>
      <c r="AB16" s="737">
        <v>64835.22</v>
      </c>
      <c r="AC16" s="737">
        <v>67883.69</v>
      </c>
      <c r="AD16" s="737">
        <v>71371.350000000006</v>
      </c>
      <c r="AE16" s="737">
        <v>78482.33</v>
      </c>
      <c r="AF16" s="737">
        <v>84918.38</v>
      </c>
      <c r="AG16" s="737">
        <v>90921.25</v>
      </c>
      <c r="AH16" s="737">
        <v>104003.49</v>
      </c>
      <c r="AI16" s="737">
        <v>114506.91</v>
      </c>
      <c r="AJ16" s="737">
        <v>121870.79</v>
      </c>
      <c r="AK16" s="737">
        <v>124002.34</v>
      </c>
      <c r="AL16" s="737">
        <v>137470.14000000001</v>
      </c>
      <c r="AM16" s="737">
        <v>139038.42000000001</v>
      </c>
      <c r="AN16" s="737">
        <v>141773.38</v>
      </c>
      <c r="AO16" s="737">
        <v>167943.65</v>
      </c>
      <c r="AP16" s="737">
        <v>174113.74</v>
      </c>
      <c r="AQ16" s="737">
        <v>180196.02</v>
      </c>
      <c r="AR16" s="737">
        <v>186751.43</v>
      </c>
      <c r="AS16" s="737">
        <v>195221.03</v>
      </c>
      <c r="AT16" s="737">
        <v>210690.27</v>
      </c>
      <c r="AU16" s="737">
        <v>218065.99</v>
      </c>
      <c r="AV16" s="737">
        <v>245815.66</v>
      </c>
      <c r="AW16" s="737">
        <v>246301.69</v>
      </c>
    </row>
    <row r="17" spans="1:49" ht="30" customHeight="1">
      <c r="A17" s="734" t="s">
        <v>998</v>
      </c>
      <c r="B17" s="734" t="s">
        <v>1092</v>
      </c>
      <c r="C17" s="738">
        <v>3780</v>
      </c>
      <c r="D17" s="738"/>
      <c r="E17" s="738"/>
      <c r="F17" s="738">
        <v>4158</v>
      </c>
      <c r="G17" s="738">
        <v>4536</v>
      </c>
      <c r="H17" s="738">
        <v>4536</v>
      </c>
      <c r="I17" s="738">
        <v>4536</v>
      </c>
      <c r="J17" s="738">
        <v>4762.8</v>
      </c>
      <c r="K17" s="738">
        <v>4787.3599999999997</v>
      </c>
      <c r="L17" s="738">
        <v>5066.51</v>
      </c>
      <c r="M17" s="738">
        <v>5347.35</v>
      </c>
      <c r="N17" s="738">
        <v>5657.85</v>
      </c>
      <c r="O17" s="738">
        <v>5899.46</v>
      </c>
      <c r="P17" s="738">
        <v>6225.18</v>
      </c>
      <c r="Q17" s="738">
        <v>6464.67</v>
      </c>
      <c r="R17" s="738">
        <v>6456.96</v>
      </c>
      <c r="S17" s="738">
        <v>6509.42</v>
      </c>
      <c r="T17" s="738">
        <v>6806.47</v>
      </c>
      <c r="U17" s="738">
        <v>6974.56</v>
      </c>
      <c r="V17" s="738">
        <v>7534.81</v>
      </c>
      <c r="W17" s="738">
        <v>8008.76</v>
      </c>
      <c r="X17" s="738">
        <v>8734.4599999999991</v>
      </c>
      <c r="Y17" s="738">
        <v>9140.5499999999993</v>
      </c>
      <c r="Z17" s="738">
        <v>10307.85</v>
      </c>
      <c r="AA17" s="738">
        <v>11228.6</v>
      </c>
      <c r="AB17" s="738">
        <v>12046.53</v>
      </c>
      <c r="AC17" s="738">
        <v>11965.87</v>
      </c>
      <c r="AD17" s="738">
        <v>13112.25</v>
      </c>
      <c r="AE17" s="738">
        <v>13676.29</v>
      </c>
      <c r="AF17" s="738">
        <v>14505.15</v>
      </c>
      <c r="AG17" s="738">
        <v>15243.43</v>
      </c>
      <c r="AH17" s="738">
        <v>16469.54</v>
      </c>
      <c r="AI17" s="738">
        <v>16772.8</v>
      </c>
      <c r="AJ17" s="738">
        <v>17006.34</v>
      </c>
      <c r="AK17" s="738">
        <v>17291.62</v>
      </c>
      <c r="AL17" s="738">
        <v>17889.14</v>
      </c>
      <c r="AM17" s="738">
        <v>18679.21</v>
      </c>
      <c r="AN17" s="738">
        <v>17705.009999999998</v>
      </c>
      <c r="AO17" s="738">
        <v>17147.95</v>
      </c>
      <c r="AP17" s="738">
        <v>17292.310000000001</v>
      </c>
      <c r="AQ17" s="738">
        <v>16028.72</v>
      </c>
      <c r="AR17" s="738">
        <v>15720.65</v>
      </c>
      <c r="AS17" s="738">
        <v>15871.06</v>
      </c>
      <c r="AT17" s="738">
        <v>15665.43</v>
      </c>
      <c r="AU17" s="738">
        <v>15421.79</v>
      </c>
      <c r="AV17" s="738">
        <v>16023.84</v>
      </c>
      <c r="AW17" s="738">
        <v>15103.09</v>
      </c>
    </row>
    <row r="18" spans="1:49">
      <c r="A18" s="713"/>
      <c r="B18" s="713"/>
      <c r="C18" s="713"/>
      <c r="D18" s="713"/>
      <c r="E18" s="713"/>
      <c r="F18" s="713"/>
      <c r="G18" s="713"/>
      <c r="H18" s="713"/>
      <c r="I18" s="713"/>
      <c r="J18" s="713"/>
      <c r="K18" s="713"/>
      <c r="L18" s="713"/>
      <c r="M18" s="713"/>
      <c r="N18" s="713"/>
      <c r="O18" s="713"/>
      <c r="P18" s="713"/>
      <c r="Q18" s="713"/>
      <c r="R18" s="713"/>
      <c r="S18" s="713"/>
      <c r="T18" s="713"/>
      <c r="U18" s="713"/>
      <c r="V18" s="713"/>
      <c r="W18" s="713"/>
      <c r="X18" s="713"/>
      <c r="Y18" s="713"/>
      <c r="Z18" s="713"/>
      <c r="AA18" s="713"/>
      <c r="AB18" s="713"/>
      <c r="AC18" s="713"/>
      <c r="AD18" s="713"/>
      <c r="AE18" s="713"/>
      <c r="AF18" s="713"/>
      <c r="AG18" s="713"/>
      <c r="AH18" s="713"/>
      <c r="AI18" s="713"/>
      <c r="AJ18" s="713"/>
      <c r="AK18" s="713"/>
      <c r="AL18" s="713"/>
      <c r="AM18" s="713"/>
      <c r="AN18" s="713"/>
      <c r="AO18" s="713"/>
      <c r="AP18" s="713"/>
      <c r="AQ18" s="713"/>
      <c r="AR18" s="713"/>
      <c r="AS18" s="713"/>
      <c r="AT18" s="713"/>
      <c r="AU18" s="713"/>
      <c r="AV18" s="713"/>
      <c r="AW18" s="713"/>
    </row>
    <row r="19" spans="1:49">
      <c r="A19" s="713" t="s">
        <v>1093</v>
      </c>
      <c r="B19" s="713" t="s">
        <v>1094</v>
      </c>
      <c r="C19" s="713"/>
      <c r="D19" s="713"/>
      <c r="E19" s="713"/>
      <c r="F19" s="713"/>
      <c r="G19" s="713"/>
      <c r="H19" s="713"/>
      <c r="I19" s="713"/>
      <c r="J19" s="713"/>
      <c r="K19" s="739"/>
      <c r="L19" s="713"/>
      <c r="M19" s="713"/>
      <c r="N19" s="713"/>
      <c r="O19" s="713"/>
      <c r="P19" s="713"/>
      <c r="Q19" s="713"/>
      <c r="R19" s="713"/>
      <c r="S19" s="713"/>
      <c r="T19" s="713"/>
      <c r="U19" s="713"/>
      <c r="V19" s="713"/>
      <c r="W19" s="713"/>
      <c r="X19" s="713"/>
      <c r="Y19" s="713"/>
      <c r="Z19" s="713"/>
      <c r="AA19" s="713"/>
      <c r="AB19" s="713"/>
      <c r="AC19" s="713"/>
      <c r="AD19" s="713"/>
      <c r="AE19" s="713"/>
      <c r="AF19" s="713"/>
      <c r="AG19" s="713"/>
      <c r="AH19" s="713"/>
      <c r="AI19" s="713"/>
      <c r="AJ19" s="713"/>
      <c r="AK19" s="713"/>
      <c r="AL19" s="713"/>
      <c r="AM19" s="713"/>
      <c r="AN19" s="713"/>
      <c r="AO19" s="713"/>
      <c r="AP19" s="713"/>
      <c r="AQ19" s="713"/>
      <c r="AR19" s="713"/>
      <c r="AS19" s="713"/>
      <c r="AT19" s="713"/>
      <c r="AU19" s="713"/>
      <c r="AV19" s="713"/>
      <c r="AW19" s="713"/>
    </row>
    <row r="23" spans="1:49" ht="20.25">
      <c r="A23" s="722"/>
      <c r="B23" s="722"/>
    </row>
    <row r="24" spans="1:49">
      <c r="A24" s="713"/>
      <c r="B24" s="713"/>
      <c r="C24" s="731"/>
      <c r="D24" s="731"/>
      <c r="E24" s="731"/>
      <c r="F24" s="731"/>
      <c r="G24" s="731"/>
      <c r="H24" s="731"/>
      <c r="I24" s="731"/>
      <c r="J24" s="731"/>
      <c r="K24" s="731"/>
      <c r="L24" s="731"/>
      <c r="M24" s="731"/>
      <c r="N24" s="731"/>
      <c r="O24" s="731"/>
      <c r="P24" s="731"/>
      <c r="Q24" s="731"/>
      <c r="R24" s="731"/>
      <c r="S24" s="731"/>
      <c r="T24" s="731"/>
      <c r="U24" s="731"/>
      <c r="V24" s="731"/>
      <c r="W24" s="731"/>
      <c r="X24" s="731"/>
      <c r="Y24" s="731"/>
      <c r="Z24" s="731"/>
      <c r="AA24" s="731"/>
      <c r="AB24" s="731"/>
      <c r="AC24" s="731"/>
      <c r="AD24" s="731"/>
      <c r="AE24" s="731"/>
      <c r="AF24" s="731"/>
      <c r="AG24" s="731"/>
      <c r="AH24" s="731"/>
      <c r="AI24" s="731"/>
      <c r="AJ24" s="731"/>
      <c r="AK24" s="731"/>
      <c r="AL24" s="731"/>
      <c r="AM24" s="731"/>
      <c r="AN24" s="731"/>
      <c r="AO24" s="731"/>
      <c r="AP24" s="731"/>
      <c r="AQ24" s="731"/>
      <c r="AR24" s="731"/>
      <c r="AS24" s="731"/>
      <c r="AT24" s="731"/>
      <c r="AU24" s="731"/>
      <c r="AV24" s="731"/>
      <c r="AW24" s="731"/>
    </row>
    <row r="25" spans="1:49">
      <c r="A25" s="713"/>
      <c r="B25" s="713"/>
      <c r="C25" s="731"/>
      <c r="D25" s="731"/>
      <c r="E25" s="731"/>
      <c r="F25" s="731"/>
      <c r="G25" s="731"/>
      <c r="H25" s="731"/>
      <c r="I25" s="731"/>
      <c r="J25" s="731"/>
      <c r="K25" s="731"/>
      <c r="L25" s="731"/>
      <c r="M25" s="731"/>
      <c r="N25" s="731"/>
      <c r="O25" s="731"/>
      <c r="P25" s="731"/>
      <c r="Q25" s="731"/>
      <c r="R25" s="731"/>
      <c r="S25" s="731"/>
      <c r="T25" s="731"/>
      <c r="U25" s="731"/>
      <c r="V25" s="731"/>
      <c r="W25" s="731"/>
      <c r="X25" s="731"/>
      <c r="Y25" s="731"/>
      <c r="Z25" s="731"/>
      <c r="AA25" s="731"/>
      <c r="AB25" s="731"/>
      <c r="AC25" s="731"/>
      <c r="AD25" s="731"/>
      <c r="AE25" s="731"/>
      <c r="AF25" s="731"/>
      <c r="AG25" s="731"/>
      <c r="AH25" s="731"/>
      <c r="AI25" s="731"/>
      <c r="AJ25" s="731"/>
      <c r="AK25" s="731"/>
      <c r="AL25" s="731"/>
      <c r="AM25" s="731"/>
      <c r="AN25" s="731"/>
      <c r="AO25" s="731"/>
      <c r="AP25" s="731"/>
      <c r="AQ25" s="731"/>
      <c r="AR25" s="731"/>
      <c r="AS25" s="731"/>
      <c r="AT25" s="731"/>
      <c r="AU25" s="731"/>
      <c r="AV25" s="731"/>
      <c r="AW25" s="731"/>
    </row>
    <row r="26" spans="1:49">
      <c r="A26" s="740"/>
      <c r="B26" s="740"/>
      <c r="C26" s="715"/>
      <c r="D26" s="715"/>
      <c r="E26" s="715"/>
      <c r="F26" s="715"/>
      <c r="G26" s="715"/>
      <c r="H26" s="715"/>
      <c r="I26" s="715"/>
      <c r="J26" s="715"/>
      <c r="K26" s="715"/>
      <c r="L26" s="715"/>
      <c r="M26" s="715"/>
      <c r="N26" s="715"/>
      <c r="O26" s="715"/>
      <c r="P26" s="715"/>
      <c r="Q26" s="715"/>
      <c r="R26" s="715"/>
      <c r="S26" s="715"/>
      <c r="T26" s="715"/>
      <c r="U26" s="715"/>
      <c r="V26" s="715"/>
      <c r="W26" s="715"/>
      <c r="X26" s="715"/>
      <c r="Y26" s="715"/>
      <c r="Z26" s="715"/>
      <c r="AA26" s="715"/>
      <c r="AB26" s="715"/>
      <c r="AC26" s="715"/>
      <c r="AD26" s="715"/>
      <c r="AE26" s="715"/>
      <c r="AF26" s="715"/>
      <c r="AG26" s="715"/>
      <c r="AH26" s="715"/>
      <c r="AI26" s="715"/>
      <c r="AJ26" s="715"/>
      <c r="AK26" s="715"/>
      <c r="AL26" s="715"/>
      <c r="AM26" s="715"/>
      <c r="AN26" s="715"/>
      <c r="AO26" s="715"/>
      <c r="AP26" s="715"/>
      <c r="AQ26" s="715"/>
      <c r="AR26" s="715"/>
      <c r="AS26" s="715"/>
      <c r="AT26" s="715"/>
      <c r="AU26" s="715"/>
      <c r="AV26" s="715"/>
      <c r="AW26" s="715"/>
    </row>
    <row r="27" spans="1:49">
      <c r="A27" s="734"/>
      <c r="B27" s="734"/>
      <c r="C27" s="735"/>
      <c r="D27" s="735"/>
      <c r="E27" s="735"/>
      <c r="F27" s="735"/>
      <c r="G27" s="735"/>
      <c r="H27" s="735"/>
      <c r="I27" s="735"/>
      <c r="J27" s="735"/>
      <c r="K27" s="735"/>
      <c r="L27" s="735"/>
      <c r="M27" s="735"/>
      <c r="N27" s="735"/>
      <c r="O27" s="735"/>
      <c r="P27" s="735"/>
      <c r="Q27" s="735"/>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row>
    <row r="28" spans="1:49">
      <c r="A28" s="736"/>
      <c r="B28" s="736"/>
      <c r="C28" s="737"/>
      <c r="D28" s="737"/>
      <c r="E28" s="737"/>
      <c r="F28" s="737"/>
      <c r="G28" s="737"/>
      <c r="H28" s="737"/>
      <c r="I28" s="737"/>
      <c r="J28" s="737"/>
      <c r="K28" s="737"/>
      <c r="L28" s="737"/>
      <c r="M28" s="737"/>
      <c r="N28" s="737"/>
      <c r="O28" s="737"/>
      <c r="P28" s="737"/>
      <c r="Q28" s="737"/>
      <c r="R28" s="737"/>
      <c r="S28" s="737"/>
      <c r="T28" s="737"/>
      <c r="U28" s="737"/>
      <c r="V28" s="737"/>
      <c r="W28" s="737"/>
      <c r="X28" s="737"/>
      <c r="Y28" s="737"/>
      <c r="Z28" s="737"/>
      <c r="AA28" s="737"/>
      <c r="AB28" s="737"/>
      <c r="AC28" s="737"/>
      <c r="AD28" s="737"/>
      <c r="AE28" s="737"/>
      <c r="AF28" s="737"/>
      <c r="AG28" s="737"/>
      <c r="AH28" s="737"/>
      <c r="AI28" s="737"/>
      <c r="AJ28" s="737"/>
      <c r="AK28" s="737"/>
      <c r="AL28" s="737"/>
      <c r="AM28" s="737"/>
      <c r="AN28" s="737"/>
      <c r="AO28" s="737"/>
      <c r="AP28" s="737"/>
      <c r="AQ28" s="737"/>
      <c r="AR28" s="737"/>
      <c r="AS28" s="737"/>
      <c r="AT28" s="737"/>
      <c r="AU28" s="737"/>
      <c r="AV28" s="737"/>
      <c r="AW28" s="737"/>
    </row>
    <row r="29" spans="1:49">
      <c r="A29" s="736"/>
      <c r="B29" s="736"/>
      <c r="C29" s="737"/>
      <c r="D29" s="737"/>
      <c r="E29" s="737"/>
      <c r="F29" s="737"/>
      <c r="G29" s="737"/>
      <c r="H29" s="737"/>
      <c r="I29" s="737"/>
      <c r="J29" s="737"/>
      <c r="K29" s="737"/>
      <c r="L29" s="737"/>
      <c r="M29" s="737"/>
      <c r="N29" s="737"/>
      <c r="O29" s="737"/>
      <c r="P29" s="737"/>
      <c r="Q29" s="737"/>
      <c r="R29" s="737"/>
      <c r="S29" s="737"/>
      <c r="T29" s="737"/>
      <c r="U29" s="737"/>
      <c r="V29" s="737"/>
      <c r="W29" s="737"/>
      <c r="X29" s="737"/>
      <c r="Y29" s="737"/>
      <c r="Z29" s="737"/>
      <c r="AA29" s="737"/>
      <c r="AB29" s="737"/>
      <c r="AC29" s="737"/>
      <c r="AD29" s="737"/>
      <c r="AE29" s="737"/>
      <c r="AF29" s="737"/>
      <c r="AG29" s="737"/>
      <c r="AH29" s="737"/>
      <c r="AI29" s="737"/>
      <c r="AJ29" s="737"/>
      <c r="AK29" s="737"/>
      <c r="AL29" s="737"/>
      <c r="AM29" s="737"/>
      <c r="AN29" s="737"/>
      <c r="AO29" s="737"/>
      <c r="AP29" s="737"/>
      <c r="AQ29" s="737"/>
      <c r="AR29" s="737"/>
      <c r="AS29" s="737"/>
      <c r="AT29" s="737"/>
      <c r="AU29" s="737"/>
      <c r="AV29" s="737"/>
      <c r="AW29" s="737"/>
    </row>
    <row r="30" spans="1:49">
      <c r="A30" s="734"/>
      <c r="B30" s="734"/>
      <c r="C30" s="735"/>
      <c r="D30" s="735"/>
      <c r="E30" s="735"/>
      <c r="F30" s="735"/>
      <c r="G30" s="735"/>
      <c r="H30" s="735"/>
      <c r="I30" s="735"/>
      <c r="J30" s="735"/>
      <c r="K30" s="735"/>
      <c r="L30" s="735"/>
      <c r="M30" s="735"/>
      <c r="N30" s="735"/>
      <c r="O30" s="735"/>
      <c r="P30" s="735"/>
      <c r="Q30" s="735"/>
      <c r="R30" s="735"/>
      <c r="S30" s="735"/>
      <c r="T30" s="735"/>
      <c r="U30" s="735"/>
      <c r="V30" s="735"/>
      <c r="W30" s="735"/>
      <c r="X30" s="735"/>
      <c r="Y30" s="735"/>
      <c r="Z30" s="735"/>
      <c r="AA30" s="735"/>
      <c r="AB30" s="735"/>
      <c r="AC30" s="735"/>
      <c r="AD30" s="735"/>
      <c r="AE30" s="735"/>
      <c r="AF30" s="735"/>
      <c r="AG30" s="735"/>
      <c r="AH30" s="735"/>
      <c r="AI30" s="735"/>
      <c r="AJ30" s="735"/>
      <c r="AK30" s="735"/>
      <c r="AL30" s="735"/>
      <c r="AM30" s="735"/>
      <c r="AN30" s="735"/>
      <c r="AO30" s="735"/>
      <c r="AP30" s="735"/>
      <c r="AQ30" s="735"/>
      <c r="AR30" s="735"/>
      <c r="AS30" s="735"/>
      <c r="AT30" s="735"/>
      <c r="AU30" s="735"/>
      <c r="AV30" s="735"/>
      <c r="AW30" s="735"/>
    </row>
    <row r="31" spans="1:49">
      <c r="A31" s="736"/>
      <c r="B31" s="736"/>
      <c r="C31" s="737"/>
      <c r="D31" s="737"/>
      <c r="E31" s="737"/>
      <c r="F31" s="737"/>
      <c r="G31" s="737"/>
      <c r="H31" s="737"/>
      <c r="I31" s="737"/>
      <c r="J31" s="737"/>
      <c r="K31" s="737"/>
      <c r="L31" s="737"/>
      <c r="M31" s="737"/>
      <c r="N31" s="737"/>
      <c r="O31" s="737"/>
      <c r="P31" s="737"/>
      <c r="Q31" s="737"/>
      <c r="R31" s="737"/>
      <c r="S31" s="737"/>
      <c r="T31" s="737"/>
      <c r="U31" s="737"/>
      <c r="V31" s="737"/>
      <c r="W31" s="737"/>
      <c r="X31" s="737"/>
      <c r="Y31" s="737"/>
      <c r="Z31" s="737"/>
      <c r="AA31" s="737"/>
      <c r="AB31" s="737"/>
      <c r="AC31" s="737"/>
      <c r="AD31" s="737"/>
      <c r="AE31" s="737"/>
      <c r="AF31" s="737"/>
      <c r="AG31" s="737"/>
      <c r="AH31" s="737"/>
      <c r="AI31" s="737"/>
      <c r="AJ31" s="737"/>
      <c r="AK31" s="737"/>
      <c r="AL31" s="737"/>
      <c r="AM31" s="737"/>
      <c r="AN31" s="737"/>
      <c r="AO31" s="737"/>
      <c r="AP31" s="737"/>
      <c r="AQ31" s="737"/>
      <c r="AR31" s="737"/>
      <c r="AS31" s="737"/>
      <c r="AT31" s="737"/>
      <c r="AU31" s="737"/>
      <c r="AV31" s="737"/>
      <c r="AW31" s="737"/>
    </row>
    <row r="32" spans="1:49">
      <c r="A32" s="736"/>
      <c r="B32" s="736"/>
      <c r="C32" s="737"/>
      <c r="D32" s="737"/>
      <c r="E32" s="737"/>
      <c r="F32" s="737"/>
      <c r="G32" s="737"/>
      <c r="H32" s="737"/>
      <c r="I32" s="737"/>
      <c r="J32" s="737"/>
      <c r="K32" s="737"/>
      <c r="L32" s="737"/>
      <c r="M32" s="737"/>
      <c r="N32" s="737"/>
      <c r="O32" s="737"/>
      <c r="P32" s="737"/>
      <c r="Q32" s="737"/>
      <c r="R32" s="737"/>
      <c r="S32" s="737"/>
      <c r="T32" s="737"/>
      <c r="U32" s="737"/>
      <c r="V32" s="737"/>
      <c r="W32" s="737"/>
      <c r="X32" s="737"/>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row>
    <row r="33" spans="1:49">
      <c r="A33" s="736"/>
      <c r="B33" s="736"/>
      <c r="C33" s="737"/>
      <c r="D33" s="737"/>
      <c r="E33" s="737"/>
      <c r="F33" s="737"/>
      <c r="G33" s="737"/>
      <c r="H33" s="737"/>
      <c r="I33" s="737"/>
      <c r="J33" s="737"/>
      <c r="K33" s="737"/>
      <c r="L33" s="737"/>
      <c r="M33" s="737"/>
      <c r="N33" s="737"/>
      <c r="O33" s="737"/>
      <c r="P33" s="737"/>
      <c r="Q33" s="737"/>
      <c r="R33" s="737"/>
      <c r="S33" s="737"/>
      <c r="T33" s="737"/>
      <c r="U33" s="737"/>
      <c r="V33" s="737"/>
      <c r="W33" s="737"/>
      <c r="X33" s="737"/>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row>
    <row r="34" spans="1:49">
      <c r="A34" s="734"/>
      <c r="B34" s="734"/>
      <c r="C34" s="735"/>
      <c r="D34" s="735"/>
      <c r="E34" s="735"/>
      <c r="F34" s="735"/>
      <c r="G34" s="735"/>
      <c r="H34" s="735"/>
      <c r="I34" s="735"/>
      <c r="J34" s="735"/>
      <c r="K34" s="735"/>
      <c r="L34" s="735"/>
      <c r="M34" s="735"/>
      <c r="N34" s="735"/>
      <c r="O34" s="735"/>
      <c r="P34" s="735"/>
      <c r="Q34" s="735"/>
      <c r="R34" s="735"/>
      <c r="S34" s="735"/>
      <c r="T34" s="735"/>
      <c r="U34" s="735"/>
      <c r="V34" s="735"/>
      <c r="W34" s="735"/>
      <c r="X34" s="735"/>
      <c r="Y34" s="735"/>
      <c r="Z34" s="735"/>
      <c r="AA34" s="735"/>
      <c r="AB34" s="735"/>
      <c r="AC34" s="735"/>
      <c r="AD34" s="735"/>
      <c r="AE34" s="735"/>
      <c r="AF34" s="735"/>
      <c r="AG34" s="735"/>
      <c r="AH34" s="735"/>
      <c r="AI34" s="735"/>
      <c r="AJ34" s="735"/>
      <c r="AK34" s="735"/>
      <c r="AL34" s="735"/>
      <c r="AM34" s="735"/>
      <c r="AN34" s="735"/>
      <c r="AO34" s="735"/>
      <c r="AP34" s="735"/>
      <c r="AQ34" s="735"/>
      <c r="AR34" s="735"/>
      <c r="AS34" s="735"/>
      <c r="AT34" s="735"/>
      <c r="AU34" s="735"/>
      <c r="AV34" s="735"/>
      <c r="AW34" s="735"/>
    </row>
    <row r="35" spans="1:49">
      <c r="A35" s="736"/>
      <c r="B35" s="736"/>
      <c r="C35" s="737"/>
      <c r="D35" s="737"/>
      <c r="E35" s="737"/>
      <c r="F35" s="737"/>
      <c r="G35" s="737"/>
      <c r="H35" s="737"/>
      <c r="I35" s="737"/>
      <c r="J35" s="737"/>
      <c r="K35" s="737"/>
      <c r="L35" s="737"/>
      <c r="M35" s="737"/>
      <c r="N35" s="737"/>
      <c r="O35" s="737"/>
      <c r="P35" s="737"/>
      <c r="Q35" s="737"/>
      <c r="R35" s="737"/>
      <c r="S35" s="737"/>
      <c r="T35" s="737"/>
      <c r="U35" s="737"/>
      <c r="V35" s="737"/>
      <c r="W35" s="737"/>
      <c r="X35" s="737"/>
      <c r="Y35" s="737"/>
      <c r="Z35" s="737"/>
      <c r="AA35" s="737"/>
      <c r="AB35" s="737"/>
      <c r="AC35" s="737"/>
      <c r="AD35" s="737"/>
      <c r="AE35" s="737"/>
      <c r="AF35" s="737"/>
      <c r="AG35" s="737"/>
      <c r="AH35" s="737"/>
      <c r="AI35" s="737"/>
      <c r="AJ35" s="737"/>
      <c r="AK35" s="737"/>
      <c r="AL35" s="737"/>
      <c r="AM35" s="737"/>
      <c r="AN35" s="737"/>
      <c r="AO35" s="737"/>
      <c r="AP35" s="737"/>
      <c r="AQ35" s="737"/>
      <c r="AR35" s="737"/>
      <c r="AS35" s="737"/>
      <c r="AT35" s="737"/>
      <c r="AU35" s="737"/>
      <c r="AV35" s="737"/>
      <c r="AW35" s="737"/>
    </row>
    <row r="36" spans="1:49">
      <c r="A36" s="736"/>
      <c r="B36" s="736"/>
      <c r="C36" s="737"/>
      <c r="D36" s="737"/>
      <c r="E36" s="737"/>
      <c r="F36" s="737"/>
      <c r="G36" s="737"/>
      <c r="H36" s="737"/>
      <c r="I36" s="737"/>
      <c r="J36" s="737"/>
      <c r="K36" s="737"/>
      <c r="L36" s="737"/>
      <c r="M36" s="737"/>
      <c r="N36" s="737"/>
      <c r="O36" s="737"/>
      <c r="P36" s="737"/>
      <c r="Q36" s="737"/>
      <c r="R36" s="737"/>
      <c r="S36" s="737"/>
      <c r="T36" s="737"/>
      <c r="U36" s="737"/>
      <c r="V36" s="737"/>
      <c r="W36" s="737"/>
      <c r="X36" s="737"/>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row>
    <row r="37" spans="1:49">
      <c r="A37" s="736"/>
      <c r="B37" s="736"/>
      <c r="C37" s="737"/>
      <c r="D37" s="737"/>
      <c r="E37" s="737"/>
      <c r="F37" s="737"/>
      <c r="G37" s="737"/>
      <c r="H37" s="737"/>
      <c r="I37" s="737"/>
      <c r="J37" s="737"/>
      <c r="K37" s="737"/>
      <c r="L37" s="737"/>
      <c r="M37" s="737"/>
      <c r="N37" s="737"/>
      <c r="O37" s="737"/>
      <c r="P37" s="737"/>
      <c r="Q37" s="737"/>
      <c r="R37" s="737"/>
      <c r="S37" s="737"/>
      <c r="T37" s="737"/>
      <c r="U37" s="737"/>
      <c r="V37" s="737"/>
      <c r="W37" s="737"/>
      <c r="X37" s="737"/>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row>
    <row r="38" spans="1:49">
      <c r="A38" s="736"/>
      <c r="B38" s="736"/>
      <c r="C38" s="737"/>
      <c r="D38" s="737"/>
      <c r="E38" s="737"/>
      <c r="F38" s="737"/>
      <c r="G38" s="737"/>
      <c r="H38" s="737"/>
      <c r="I38" s="737"/>
      <c r="J38" s="737"/>
      <c r="K38" s="737"/>
      <c r="L38" s="737"/>
      <c r="M38" s="737"/>
      <c r="N38" s="737"/>
      <c r="O38" s="737"/>
      <c r="P38" s="737"/>
      <c r="Q38" s="737"/>
      <c r="R38" s="737"/>
      <c r="S38" s="737"/>
      <c r="T38" s="737"/>
      <c r="U38" s="737"/>
      <c r="V38" s="737"/>
      <c r="W38" s="737"/>
      <c r="X38" s="737"/>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row>
    <row r="39" spans="1:49">
      <c r="A39" s="734"/>
      <c r="B39" s="734"/>
      <c r="C39" s="738"/>
      <c r="D39" s="738"/>
      <c r="E39" s="738"/>
      <c r="F39" s="738"/>
      <c r="G39" s="738"/>
      <c r="H39" s="738"/>
      <c r="I39" s="738"/>
      <c r="J39" s="738"/>
      <c r="K39" s="738"/>
      <c r="L39" s="738"/>
      <c r="M39" s="738"/>
      <c r="N39" s="738"/>
      <c r="O39" s="738"/>
      <c r="P39" s="738"/>
      <c r="Q39" s="738"/>
      <c r="R39" s="738"/>
      <c r="S39" s="738"/>
      <c r="T39" s="738"/>
      <c r="U39" s="738"/>
      <c r="V39" s="738"/>
      <c r="W39" s="738"/>
      <c r="X39" s="738"/>
      <c r="Y39" s="738"/>
      <c r="Z39" s="738"/>
      <c r="AA39" s="738"/>
      <c r="AB39" s="738"/>
      <c r="AC39" s="738"/>
      <c r="AD39" s="738"/>
      <c r="AE39" s="738"/>
      <c r="AF39" s="738"/>
      <c r="AG39" s="738"/>
      <c r="AH39" s="738"/>
      <c r="AI39" s="738"/>
      <c r="AJ39" s="738"/>
      <c r="AK39" s="738"/>
      <c r="AL39" s="738"/>
      <c r="AM39" s="738"/>
      <c r="AN39" s="738"/>
      <c r="AO39" s="738"/>
      <c r="AP39" s="738"/>
      <c r="AQ39" s="738"/>
      <c r="AR39" s="738"/>
      <c r="AS39" s="738"/>
      <c r="AT39" s="738"/>
      <c r="AU39" s="738"/>
      <c r="AV39" s="738"/>
      <c r="AW39" s="738"/>
    </row>
    <row r="40" spans="1:49">
      <c r="C40" s="7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40625" defaultRowHeight="15"/>
  <cols>
    <col min="1" max="1" width="9.140625" style="562"/>
    <col min="2" max="2" width="28.28515625" style="562" customWidth="1"/>
    <col min="3" max="3" width="138.42578125" style="562" customWidth="1"/>
    <col min="4" max="16384" width="9.140625" style="562"/>
  </cols>
  <sheetData>
    <row r="1" spans="2:3" ht="18.75">
      <c r="B1" s="561" t="s">
        <v>744</v>
      </c>
    </row>
    <row r="3" spans="2:3">
      <c r="B3" s="563" t="s">
        <v>745</v>
      </c>
      <c r="C3" s="567" t="s">
        <v>754</v>
      </c>
    </row>
    <row r="4" spans="2:3">
      <c r="B4" s="563" t="s">
        <v>746</v>
      </c>
      <c r="C4" s="562" t="s">
        <v>747</v>
      </c>
    </row>
    <row r="5" spans="2:3">
      <c r="B5" s="563"/>
    </row>
    <row r="6" spans="2:3">
      <c r="B6" s="563" t="s">
        <v>748</v>
      </c>
      <c r="C6" s="567" t="s">
        <v>753</v>
      </c>
    </row>
    <row r="7" spans="2:3">
      <c r="B7" s="563"/>
    </row>
    <row r="8" spans="2:3">
      <c r="B8" s="564" t="s">
        <v>749</v>
      </c>
    </row>
    <row r="9" spans="2:3">
      <c r="B9" s="563"/>
    </row>
    <row r="10" spans="2:3">
      <c r="B10" s="565" t="s">
        <v>750</v>
      </c>
      <c r="C10" s="567" t="s">
        <v>755</v>
      </c>
    </row>
    <row r="11" spans="2:3">
      <c r="B11" s="565" t="s">
        <v>751</v>
      </c>
      <c r="C11" s="562" t="s">
        <v>752</v>
      </c>
    </row>
    <row r="12" spans="2:3">
      <c r="B12" s="565" t="s">
        <v>316</v>
      </c>
      <c r="C12" s="567" t="s">
        <v>756</v>
      </c>
    </row>
    <row r="13" spans="2:3">
      <c r="B13" s="565" t="s">
        <v>652</v>
      </c>
      <c r="C13" s="567" t="s">
        <v>757</v>
      </c>
    </row>
    <row r="14" spans="2:3">
      <c r="B14" s="565" t="s">
        <v>344</v>
      </c>
      <c r="C14" s="567" t="s">
        <v>761</v>
      </c>
    </row>
    <row r="15" spans="2:3">
      <c r="B15" s="565" t="s">
        <v>255</v>
      </c>
      <c r="C15" s="567" t="s">
        <v>758</v>
      </c>
    </row>
    <row r="16" spans="2:3">
      <c r="B16" s="566" t="s">
        <v>574</v>
      </c>
      <c r="C16" s="567" t="s">
        <v>762</v>
      </c>
    </row>
    <row r="17" spans="2:3">
      <c r="B17" s="566" t="s">
        <v>759</v>
      </c>
      <c r="C17" s="567" t="s">
        <v>763</v>
      </c>
    </row>
    <row r="18" spans="2:3">
      <c r="B18" s="566" t="s">
        <v>760</v>
      </c>
      <c r="C18" s="567" t="s">
        <v>764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S135"/>
  <sheetViews>
    <sheetView topLeftCell="A49" zoomScaleNormal="100" workbookViewId="0">
      <selection activeCell="I72" sqref="I72"/>
    </sheetView>
  </sheetViews>
  <sheetFormatPr defaultRowHeight="12.75"/>
  <cols>
    <col min="1" max="1" width="5.85546875" customWidth="1"/>
    <col min="2" max="2" width="21.7109375" bestFit="1" customWidth="1"/>
    <col min="3" max="3" width="7.7109375" bestFit="1" customWidth="1"/>
    <col min="4" max="4" width="13.42578125" bestFit="1" customWidth="1"/>
    <col min="5" max="5" width="26.7109375" bestFit="1" customWidth="1"/>
    <col min="6" max="6" width="4.28515625" bestFit="1" customWidth="1"/>
    <col min="7" max="7" width="10.42578125" customWidth="1"/>
    <col min="8" max="8" width="11.28515625" bestFit="1" customWidth="1"/>
  </cols>
  <sheetData>
    <row r="1" spans="1:14">
      <c r="B1" s="2"/>
      <c r="C1" s="2"/>
    </row>
    <row r="2" spans="1:14">
      <c r="B2" s="2"/>
      <c r="C2" s="2"/>
    </row>
    <row r="3" spans="1:14">
      <c r="B3" s="16" t="s">
        <v>8</v>
      </c>
      <c r="C3" s="17"/>
      <c r="D3" s="18"/>
      <c r="E3" s="18"/>
      <c r="F3" s="18"/>
      <c r="G3" s="18"/>
      <c r="H3" s="18"/>
      <c r="I3" s="18"/>
      <c r="J3" s="18"/>
    </row>
    <row r="4" spans="1:14">
      <c r="B4" s="19" t="s">
        <v>5</v>
      </c>
      <c r="C4" s="19" t="s">
        <v>0</v>
      </c>
      <c r="D4" s="19" t="s">
        <v>3</v>
      </c>
      <c r="E4" s="19" t="s">
        <v>4</v>
      </c>
      <c r="F4" s="19" t="s">
        <v>6</v>
      </c>
      <c r="G4" s="19" t="s">
        <v>9</v>
      </c>
      <c r="H4" s="19" t="s">
        <v>10</v>
      </c>
      <c r="I4" s="19" t="s">
        <v>11</v>
      </c>
      <c r="J4" s="19" t="s">
        <v>12</v>
      </c>
    </row>
    <row r="5" spans="1:14" ht="23.45" customHeight="1">
      <c r="B5" s="266" t="s">
        <v>32</v>
      </c>
      <c r="C5" s="267" t="s">
        <v>24</v>
      </c>
      <c r="D5" s="267" t="s">
        <v>33</v>
      </c>
      <c r="E5" s="267" t="s">
        <v>34</v>
      </c>
      <c r="F5" s="267" t="s">
        <v>6</v>
      </c>
      <c r="G5" s="267" t="s">
        <v>35</v>
      </c>
      <c r="H5" s="267" t="s">
        <v>36</v>
      </c>
      <c r="I5" s="267" t="s">
        <v>37</v>
      </c>
      <c r="J5" s="267" t="s">
        <v>38</v>
      </c>
    </row>
    <row r="6" spans="1:14" s="9" customFormat="1">
      <c r="B6" s="268" t="s">
        <v>39</v>
      </c>
      <c r="C6" s="269"/>
      <c r="D6" s="256" t="s">
        <v>40</v>
      </c>
      <c r="E6" s="256" t="s">
        <v>49</v>
      </c>
      <c r="F6" s="255" t="s">
        <v>62</v>
      </c>
      <c r="G6" s="256"/>
      <c r="H6" s="256"/>
      <c r="I6" s="256"/>
      <c r="J6" s="256"/>
    </row>
    <row r="7" spans="1:14">
      <c r="B7" s="22"/>
      <c r="C7" s="22"/>
      <c r="D7" s="23" t="s">
        <v>41</v>
      </c>
      <c r="E7" s="23" t="s">
        <v>60</v>
      </c>
      <c r="F7" s="21" t="s">
        <v>62</v>
      </c>
      <c r="G7" s="22"/>
      <c r="H7" s="22"/>
      <c r="I7" s="22"/>
      <c r="J7" s="22"/>
    </row>
    <row r="8" spans="1:14" s="576" customFormat="1">
      <c r="A8" s="9"/>
      <c r="B8" s="23"/>
      <c r="C8" s="572"/>
      <c r="D8" s="23" t="s">
        <v>883</v>
      </c>
      <c r="E8" s="23" t="s">
        <v>884</v>
      </c>
      <c r="F8" s="457" t="s">
        <v>62</v>
      </c>
      <c r="G8" s="572"/>
      <c r="H8" s="572"/>
      <c r="I8" s="572"/>
      <c r="J8" s="572"/>
      <c r="L8" s="106"/>
      <c r="M8" s="106"/>
      <c r="N8" s="106"/>
    </row>
    <row r="9" spans="1:14" s="576" customFormat="1">
      <c r="B9" s="572"/>
      <c r="C9" s="572"/>
      <c r="D9" s="23" t="s">
        <v>853</v>
      </c>
      <c r="E9" s="23" t="s">
        <v>854</v>
      </c>
      <c r="F9" s="21" t="s">
        <v>62</v>
      </c>
      <c r="G9" s="572"/>
      <c r="H9" s="572"/>
      <c r="I9" s="572"/>
      <c r="J9" s="572"/>
    </row>
    <row r="10" spans="1:14">
      <c r="B10" s="22"/>
      <c r="C10" s="22"/>
      <c r="D10" s="23" t="s">
        <v>42</v>
      </c>
      <c r="E10" s="23" t="s">
        <v>56</v>
      </c>
      <c r="F10" s="21" t="s">
        <v>62</v>
      </c>
      <c r="G10" s="22"/>
      <c r="H10" s="22"/>
      <c r="I10" s="22"/>
      <c r="J10" s="22"/>
    </row>
    <row r="11" spans="1:14">
      <c r="B11" s="22"/>
      <c r="C11" s="22"/>
      <c r="D11" s="23" t="s">
        <v>43</v>
      </c>
      <c r="E11" s="23" t="s">
        <v>57</v>
      </c>
      <c r="F11" s="21" t="s">
        <v>62</v>
      </c>
      <c r="G11" s="22"/>
      <c r="H11" s="22"/>
      <c r="I11" s="22"/>
      <c r="J11" s="22"/>
    </row>
    <row r="12" spans="1:14" s="576" customFormat="1">
      <c r="B12" s="572"/>
      <c r="C12" s="572"/>
      <c r="D12" s="23" t="s">
        <v>844</v>
      </c>
      <c r="E12" s="23" t="s">
        <v>843</v>
      </c>
      <c r="F12" s="21" t="s">
        <v>62</v>
      </c>
      <c r="G12" s="572"/>
      <c r="H12" s="572"/>
      <c r="I12" s="572"/>
      <c r="J12" s="572"/>
    </row>
    <row r="13" spans="1:14" s="576" customFormat="1">
      <c r="B13" s="572"/>
      <c r="C13" s="572"/>
      <c r="D13" s="23" t="s">
        <v>847</v>
      </c>
      <c r="E13" s="23" t="s">
        <v>848</v>
      </c>
      <c r="F13" s="457" t="s">
        <v>62</v>
      </c>
      <c r="G13" s="572"/>
      <c r="H13" s="572"/>
      <c r="I13" s="572"/>
      <c r="J13" s="572"/>
    </row>
    <row r="14" spans="1:14">
      <c r="B14" s="22"/>
      <c r="C14" s="22"/>
      <c r="D14" s="23" t="s">
        <v>201</v>
      </c>
      <c r="E14" s="23" t="s">
        <v>55</v>
      </c>
      <c r="F14" s="21" t="s">
        <v>62</v>
      </c>
      <c r="G14" s="22"/>
      <c r="H14" s="22"/>
      <c r="I14" s="22"/>
      <c r="J14" s="22"/>
    </row>
    <row r="15" spans="1:14">
      <c r="B15" s="22"/>
      <c r="C15" s="22"/>
      <c r="D15" s="23" t="s">
        <v>46</v>
      </c>
      <c r="E15" s="23" t="s">
        <v>53</v>
      </c>
      <c r="F15" s="21" t="s">
        <v>62</v>
      </c>
      <c r="G15" s="22"/>
      <c r="H15" s="22"/>
      <c r="I15" s="22"/>
      <c r="J15" s="22"/>
    </row>
    <row r="16" spans="1:14">
      <c r="B16" s="22"/>
      <c r="C16" s="22"/>
      <c r="D16" s="23" t="s">
        <v>47</v>
      </c>
      <c r="E16" s="23" t="s">
        <v>52</v>
      </c>
      <c r="F16" s="21" t="s">
        <v>62</v>
      </c>
      <c r="G16" s="22"/>
      <c r="H16" s="22"/>
      <c r="I16" s="22"/>
      <c r="J16" s="22"/>
    </row>
    <row r="17" spans="1:14">
      <c r="B17" s="22"/>
      <c r="C17" s="22"/>
      <c r="D17" s="23" t="s">
        <v>48</v>
      </c>
      <c r="E17" s="23" t="s">
        <v>54</v>
      </c>
      <c r="F17" s="21" t="s">
        <v>62</v>
      </c>
      <c r="G17" s="22"/>
      <c r="H17" s="22"/>
      <c r="I17" s="22"/>
      <c r="J17" s="22"/>
    </row>
    <row r="18" spans="1:14">
      <c r="B18" s="22"/>
      <c r="C18" s="22"/>
      <c r="D18" s="23" t="s">
        <v>58</v>
      </c>
      <c r="E18" s="23" t="s">
        <v>59</v>
      </c>
      <c r="F18" s="21" t="s">
        <v>62</v>
      </c>
      <c r="G18" s="22"/>
      <c r="H18" s="22"/>
      <c r="I18" s="22"/>
      <c r="J18" s="22"/>
    </row>
    <row r="19" spans="1:14" s="490" customFormat="1" ht="15">
      <c r="B19" s="22"/>
      <c r="C19" s="22"/>
      <c r="D19" s="568" t="s">
        <v>771</v>
      </c>
      <c r="E19" s="568" t="s">
        <v>772</v>
      </c>
      <c r="F19" s="568" t="s">
        <v>62</v>
      </c>
      <c r="G19" s="22"/>
      <c r="H19" s="22"/>
      <c r="I19" s="22"/>
      <c r="J19" s="22"/>
    </row>
    <row r="20" spans="1:14">
      <c r="A20" s="9"/>
      <c r="B20" s="23"/>
      <c r="C20" s="22"/>
      <c r="D20" s="24" t="s">
        <v>76</v>
      </c>
      <c r="E20" s="24" t="s">
        <v>75</v>
      </c>
      <c r="F20" s="21" t="s">
        <v>62</v>
      </c>
      <c r="G20" s="22"/>
      <c r="H20" s="22"/>
      <c r="I20" s="22"/>
      <c r="J20" s="22"/>
    </row>
    <row r="21" spans="1:14">
      <c r="A21" s="9"/>
      <c r="B21" s="23"/>
      <c r="C21" s="22"/>
      <c r="D21" s="24" t="s">
        <v>77</v>
      </c>
      <c r="E21" s="24" t="s">
        <v>78</v>
      </c>
      <c r="F21" s="21" t="s">
        <v>62</v>
      </c>
      <c r="G21" s="22"/>
      <c r="H21" s="22"/>
      <c r="I21" s="22"/>
      <c r="J21" s="22"/>
    </row>
    <row r="22" spans="1:14" s="576" customFormat="1">
      <c r="A22" s="9"/>
      <c r="B22" s="23"/>
      <c r="C22" s="572"/>
      <c r="D22" s="457" t="s">
        <v>824</v>
      </c>
      <c r="E22" s="457" t="s">
        <v>825</v>
      </c>
      <c r="F22" s="457" t="s">
        <v>62</v>
      </c>
      <c r="G22" s="572"/>
      <c r="H22" s="572"/>
      <c r="I22" s="572"/>
      <c r="J22" s="572"/>
      <c r="M22" s="625"/>
      <c r="N22" s="625"/>
    </row>
    <row r="23" spans="1:14">
      <c r="A23" s="9"/>
      <c r="B23" s="23"/>
      <c r="C23" s="22"/>
      <c r="D23" s="23" t="s">
        <v>97</v>
      </c>
      <c r="E23" s="23" t="s">
        <v>98</v>
      </c>
      <c r="F23" s="21" t="s">
        <v>62</v>
      </c>
      <c r="G23" s="22"/>
      <c r="H23" s="22"/>
      <c r="I23" s="22"/>
      <c r="J23" s="22"/>
      <c r="L23" s="106"/>
      <c r="M23" s="106"/>
      <c r="N23" s="106"/>
    </row>
    <row r="24" spans="1:14" s="576" customFormat="1">
      <c r="A24" s="9"/>
      <c r="B24" s="23"/>
      <c r="C24" s="572"/>
      <c r="D24" s="23" t="s">
        <v>851</v>
      </c>
      <c r="E24" s="23" t="s">
        <v>852</v>
      </c>
      <c r="F24" s="21" t="s">
        <v>62</v>
      </c>
      <c r="G24" s="572"/>
      <c r="H24" s="572"/>
      <c r="I24" s="572"/>
      <c r="J24" s="572"/>
      <c r="L24" s="106"/>
      <c r="M24" s="106"/>
      <c r="N24" s="106"/>
    </row>
    <row r="25" spans="1:14">
      <c r="A25" s="9"/>
      <c r="B25" s="23"/>
      <c r="C25" s="22"/>
      <c r="D25" s="21" t="s">
        <v>79</v>
      </c>
      <c r="E25" s="21" t="s">
        <v>188</v>
      </c>
      <c r="F25" s="21" t="s">
        <v>62</v>
      </c>
      <c r="G25" s="22"/>
      <c r="H25" s="22"/>
      <c r="I25" s="22"/>
      <c r="J25" s="22"/>
    </row>
    <row r="26" spans="1:14">
      <c r="A26" s="9"/>
      <c r="B26" s="23"/>
      <c r="C26" s="22"/>
      <c r="D26" s="21" t="s">
        <v>104</v>
      </c>
      <c r="E26" s="21" t="s">
        <v>202</v>
      </c>
      <c r="F26" s="21" t="s">
        <v>62</v>
      </c>
      <c r="G26" s="22"/>
      <c r="H26" s="22"/>
      <c r="I26" s="22"/>
      <c r="J26" s="22"/>
      <c r="L26" s="106"/>
      <c r="M26" s="106"/>
      <c r="N26" s="106"/>
    </row>
    <row r="27" spans="1:14">
      <c r="A27" s="9"/>
      <c r="B27" s="23"/>
      <c r="C27" s="22"/>
      <c r="D27" s="21" t="s">
        <v>80</v>
      </c>
      <c r="E27" s="21" t="s">
        <v>81</v>
      </c>
      <c r="F27" s="21" t="s">
        <v>62</v>
      </c>
      <c r="G27" s="22"/>
      <c r="H27" s="22"/>
      <c r="I27" s="22"/>
      <c r="J27" s="22"/>
      <c r="L27" s="106"/>
      <c r="M27" s="106"/>
      <c r="N27" s="106"/>
    </row>
    <row r="28" spans="1:14">
      <c r="A28" s="9"/>
      <c r="B28" s="23"/>
      <c r="C28" s="22"/>
      <c r="D28" s="21" t="s">
        <v>83</v>
      </c>
      <c r="E28" s="21" t="s">
        <v>82</v>
      </c>
      <c r="F28" s="21" t="s">
        <v>62</v>
      </c>
      <c r="G28" s="22"/>
      <c r="H28" s="22"/>
      <c r="I28" s="22"/>
      <c r="J28" s="22"/>
      <c r="L28" s="106"/>
      <c r="M28" s="106"/>
      <c r="N28" s="106"/>
    </row>
    <row r="29" spans="1:14">
      <c r="A29" s="9"/>
      <c r="B29" s="23"/>
      <c r="C29" s="22"/>
      <c r="D29" s="23" t="s">
        <v>45</v>
      </c>
      <c r="E29" s="23" t="s">
        <v>51</v>
      </c>
      <c r="F29" s="21" t="s">
        <v>62</v>
      </c>
      <c r="G29" s="22"/>
      <c r="H29" s="22"/>
      <c r="I29" s="22"/>
      <c r="J29" s="22"/>
    </row>
    <row r="30" spans="1:14">
      <c r="A30" s="9"/>
      <c r="B30" s="23"/>
      <c r="C30" s="572"/>
      <c r="D30" s="23" t="s">
        <v>44</v>
      </c>
      <c r="E30" s="23" t="s">
        <v>50</v>
      </c>
      <c r="F30" s="21" t="s">
        <v>62</v>
      </c>
      <c r="G30" s="572"/>
      <c r="H30" s="572"/>
      <c r="I30" s="572"/>
      <c r="J30" s="572"/>
    </row>
    <row r="31" spans="1:14" s="576" customFormat="1">
      <c r="A31" s="9"/>
      <c r="B31" s="628"/>
      <c r="C31" s="626"/>
      <c r="D31" s="627" t="s">
        <v>910</v>
      </c>
      <c r="E31" s="627" t="s">
        <v>911</v>
      </c>
      <c r="F31" s="627" t="s">
        <v>62</v>
      </c>
      <c r="G31" s="626"/>
      <c r="H31" s="626"/>
      <c r="I31" s="626"/>
      <c r="J31" s="626"/>
      <c r="K31" s="641"/>
    </row>
    <row r="32" spans="1:14">
      <c r="A32" s="9"/>
      <c r="B32" s="23"/>
      <c r="C32" s="22"/>
      <c r="D32" s="457" t="s">
        <v>656</v>
      </c>
      <c r="E32" s="457" t="s">
        <v>657</v>
      </c>
      <c r="F32" s="457" t="s">
        <v>62</v>
      </c>
      <c r="G32" s="22"/>
      <c r="H32" s="22"/>
      <c r="I32" s="22"/>
      <c r="J32" s="22"/>
      <c r="L32" s="106"/>
      <c r="M32" s="106"/>
      <c r="N32" s="106"/>
    </row>
    <row r="33" spans="1:19">
      <c r="A33" s="9"/>
      <c r="B33" s="23"/>
      <c r="C33" s="22"/>
      <c r="D33" s="457" t="s">
        <v>658</v>
      </c>
      <c r="E33" s="457" t="s">
        <v>659</v>
      </c>
      <c r="F33" s="457" t="s">
        <v>62</v>
      </c>
      <c r="G33" s="22"/>
      <c r="H33" s="22"/>
      <c r="I33" s="22"/>
      <c r="J33" s="22"/>
      <c r="L33" s="106"/>
      <c r="M33" s="106"/>
      <c r="N33" s="106"/>
    </row>
    <row r="34" spans="1:19" s="576" customFormat="1">
      <c r="A34" s="9"/>
      <c r="B34" s="23"/>
      <c r="C34" s="572"/>
      <c r="D34" s="457" t="s">
        <v>900</v>
      </c>
      <c r="E34" s="457" t="s">
        <v>901</v>
      </c>
      <c r="F34" s="457" t="s">
        <v>62</v>
      </c>
      <c r="G34" s="572"/>
      <c r="H34" s="572"/>
      <c r="I34" s="572"/>
      <c r="J34" s="572"/>
      <c r="L34" s="106"/>
      <c r="M34" s="106"/>
      <c r="N34" s="106"/>
    </row>
    <row r="35" spans="1:19">
      <c r="A35" s="9"/>
      <c r="B35" s="23"/>
      <c r="C35" s="22"/>
      <c r="D35" s="457" t="s">
        <v>660</v>
      </c>
      <c r="E35" s="457" t="s">
        <v>661</v>
      </c>
      <c r="F35" s="457" t="s">
        <v>62</v>
      </c>
      <c r="G35" s="22"/>
      <c r="H35" s="22"/>
      <c r="I35" s="22"/>
      <c r="J35" s="22"/>
      <c r="L35" s="106"/>
      <c r="M35" s="106"/>
      <c r="N35" s="106"/>
    </row>
    <row r="36" spans="1:19">
      <c r="A36" s="9"/>
      <c r="B36" s="23"/>
      <c r="C36" s="22"/>
      <c r="D36" s="457" t="s">
        <v>662</v>
      </c>
      <c r="E36" s="457" t="s">
        <v>663</v>
      </c>
      <c r="F36" s="457" t="s">
        <v>62</v>
      </c>
      <c r="G36" s="22"/>
      <c r="H36" s="22"/>
      <c r="I36" s="22"/>
      <c r="J36" s="22"/>
      <c r="L36" s="106"/>
      <c r="M36" s="106"/>
      <c r="N36" s="106"/>
    </row>
    <row r="37" spans="1:19" s="576" customFormat="1">
      <c r="A37" s="9"/>
      <c r="B37" s="23"/>
      <c r="C37" s="572"/>
      <c r="D37" s="457" t="s">
        <v>906</v>
      </c>
      <c r="E37" s="457" t="s">
        <v>907</v>
      </c>
      <c r="F37" s="457" t="s">
        <v>62</v>
      </c>
      <c r="G37" s="572"/>
      <c r="H37" s="572"/>
      <c r="I37" s="572"/>
      <c r="J37" s="572"/>
      <c r="L37" s="106"/>
      <c r="M37" s="106"/>
      <c r="N37" s="106"/>
    </row>
    <row r="38" spans="1:19">
      <c r="A38" s="9"/>
      <c r="B38" s="23"/>
      <c r="C38" s="22"/>
      <c r="D38" s="457" t="s">
        <v>664</v>
      </c>
      <c r="E38" s="457" t="s">
        <v>665</v>
      </c>
      <c r="F38" s="457" t="s">
        <v>62</v>
      </c>
      <c r="G38" s="22"/>
      <c r="H38" s="22"/>
      <c r="I38" s="22"/>
      <c r="J38" s="22"/>
      <c r="L38" s="106"/>
      <c r="M38" s="106"/>
      <c r="N38" s="106"/>
    </row>
    <row r="39" spans="1:19">
      <c r="A39" s="9"/>
      <c r="B39" s="23"/>
      <c r="C39" s="22"/>
      <c r="D39" s="457" t="s">
        <v>666</v>
      </c>
      <c r="E39" s="457" t="s">
        <v>667</v>
      </c>
      <c r="F39" s="457" t="s">
        <v>62</v>
      </c>
      <c r="G39" s="22"/>
      <c r="H39" s="22"/>
      <c r="I39" s="22"/>
      <c r="J39" s="22"/>
      <c r="L39" s="106"/>
      <c r="M39" s="106"/>
      <c r="N39" s="106"/>
    </row>
    <row r="40" spans="1:19" s="576" customFormat="1">
      <c r="A40" s="9"/>
      <c r="B40" s="23"/>
      <c r="C40" s="572"/>
      <c r="D40" s="457" t="s">
        <v>905</v>
      </c>
      <c r="E40" s="457" t="s">
        <v>904</v>
      </c>
      <c r="F40" s="457" t="s">
        <v>62</v>
      </c>
      <c r="G40" s="572"/>
      <c r="H40" s="572"/>
      <c r="I40" s="572"/>
      <c r="J40" s="572"/>
      <c r="L40" s="106"/>
      <c r="M40" s="106"/>
      <c r="N40" s="106"/>
    </row>
    <row r="41" spans="1:19">
      <c r="A41" s="9"/>
      <c r="B41" s="23"/>
      <c r="C41" s="22"/>
      <c r="D41" s="457" t="s">
        <v>668</v>
      </c>
      <c r="E41" s="457" t="s">
        <v>669</v>
      </c>
      <c r="F41" s="457" t="s">
        <v>62</v>
      </c>
      <c r="G41" s="22"/>
      <c r="H41" s="22"/>
      <c r="I41" s="22"/>
      <c r="J41" s="22"/>
      <c r="L41" s="106"/>
      <c r="M41" s="106"/>
      <c r="N41" s="106"/>
    </row>
    <row r="42" spans="1:19">
      <c r="A42" s="9"/>
      <c r="B42" s="23"/>
      <c r="C42" s="572"/>
      <c r="D42" s="457" t="s">
        <v>670</v>
      </c>
      <c r="E42" s="457" t="s">
        <v>671</v>
      </c>
      <c r="F42" s="457" t="s">
        <v>62</v>
      </c>
      <c r="G42" s="572"/>
      <c r="H42" s="572"/>
      <c r="I42" s="572"/>
      <c r="J42" s="572"/>
    </row>
    <row r="43" spans="1:19" s="576" customFormat="1">
      <c r="A43" s="9"/>
      <c r="B43" s="23"/>
      <c r="C43" s="572"/>
      <c r="D43" s="457" t="s">
        <v>902</v>
      </c>
      <c r="E43" s="457" t="s">
        <v>903</v>
      </c>
      <c r="F43" s="457" t="s">
        <v>62</v>
      </c>
      <c r="G43" s="572"/>
      <c r="H43" s="572"/>
      <c r="I43" s="572"/>
      <c r="J43" s="572"/>
      <c r="L43" s="106"/>
      <c r="M43" s="106"/>
      <c r="N43" s="106"/>
    </row>
    <row r="44" spans="1:19" s="576" customFormat="1">
      <c r="A44" s="9"/>
      <c r="B44" s="23"/>
      <c r="C44" s="572"/>
      <c r="D44" s="457" t="s">
        <v>1105</v>
      </c>
      <c r="E44" s="457" t="s">
        <v>1102</v>
      </c>
      <c r="F44" s="457" t="s">
        <v>62</v>
      </c>
      <c r="G44" s="572"/>
      <c r="H44" s="572"/>
      <c r="I44" s="572"/>
      <c r="J44" s="572"/>
      <c r="L44" s="106"/>
      <c r="M44" s="106"/>
      <c r="N44" s="106"/>
    </row>
    <row r="45" spans="1:19" s="576" customFormat="1">
      <c r="A45" s="9"/>
      <c r="B45" s="23"/>
      <c r="C45" s="572"/>
      <c r="D45" s="457" t="s">
        <v>1106</v>
      </c>
      <c r="E45" s="457" t="s">
        <v>1109</v>
      </c>
      <c r="F45" s="457" t="s">
        <v>62</v>
      </c>
      <c r="G45" s="572"/>
      <c r="H45" s="572"/>
      <c r="I45" s="572"/>
      <c r="J45" s="572"/>
      <c r="L45" s="106"/>
      <c r="M45" s="106"/>
      <c r="N45" s="106"/>
    </row>
    <row r="46" spans="1:19">
      <c r="A46" s="9"/>
      <c r="B46" s="59"/>
      <c r="C46" s="18"/>
      <c r="D46" s="21" t="s">
        <v>425</v>
      </c>
      <c r="E46" s="21" t="s">
        <v>426</v>
      </c>
      <c r="F46" s="21" t="s">
        <v>62</v>
      </c>
      <c r="G46" s="18"/>
      <c r="H46" s="18"/>
      <c r="I46" s="18"/>
      <c r="J46" s="18"/>
    </row>
    <row r="47" spans="1:19">
      <c r="A47" s="3"/>
      <c r="B47" s="18"/>
      <c r="C47" s="18"/>
      <c r="D47" s="21" t="s">
        <v>427</v>
      </c>
      <c r="E47" s="21" t="s">
        <v>428</v>
      </c>
      <c r="F47" s="21" t="s">
        <v>62</v>
      </c>
      <c r="G47" s="18"/>
      <c r="H47" s="18"/>
      <c r="I47" s="18"/>
      <c r="J47" s="18"/>
      <c r="L47" s="3"/>
      <c r="M47" s="3"/>
      <c r="N47" s="3"/>
      <c r="O47" s="3"/>
      <c r="P47" s="3"/>
      <c r="Q47" s="3"/>
      <c r="R47" s="3"/>
      <c r="S47" s="3"/>
    </row>
    <row r="48" spans="1:19">
      <c r="A48" s="3"/>
      <c r="B48" s="18"/>
      <c r="C48" s="18"/>
      <c r="D48" s="21" t="s">
        <v>437</v>
      </c>
      <c r="E48" s="21" t="s">
        <v>438</v>
      </c>
      <c r="F48" s="21" t="s">
        <v>62</v>
      </c>
      <c r="G48" s="18"/>
      <c r="H48" s="18"/>
      <c r="I48" s="18"/>
      <c r="J48" s="18"/>
      <c r="L48" s="3"/>
      <c r="M48" s="3"/>
      <c r="N48" s="3"/>
      <c r="O48" s="3"/>
      <c r="P48" s="3"/>
      <c r="Q48" s="3"/>
      <c r="R48" s="3"/>
      <c r="S48" s="3"/>
    </row>
    <row r="49" spans="2:10">
      <c r="B49" s="572"/>
      <c r="C49" s="572"/>
      <c r="D49" s="21" t="s">
        <v>429</v>
      </c>
      <c r="E49" s="572" t="s">
        <v>431</v>
      </c>
      <c r="F49" s="21" t="s">
        <v>62</v>
      </c>
      <c r="G49" s="572"/>
      <c r="H49" s="572"/>
      <c r="I49" s="572"/>
      <c r="J49" s="572"/>
    </row>
    <row r="50" spans="2:10">
      <c r="B50" s="572"/>
      <c r="C50" s="572"/>
      <c r="D50" s="21" t="s">
        <v>430</v>
      </c>
      <c r="E50" s="572" t="s">
        <v>432</v>
      </c>
      <c r="F50" s="21" t="s">
        <v>62</v>
      </c>
      <c r="G50" s="572"/>
      <c r="H50" s="572"/>
      <c r="I50" s="572"/>
      <c r="J50" s="572"/>
    </row>
    <row r="51" spans="2:10" s="576" customFormat="1">
      <c r="B51" s="572"/>
      <c r="C51" s="572"/>
      <c r="D51" s="457" t="s">
        <v>908</v>
      </c>
      <c r="E51" s="661" t="s">
        <v>909</v>
      </c>
      <c r="F51" s="21" t="s">
        <v>62</v>
      </c>
      <c r="G51" s="572"/>
      <c r="H51" s="572"/>
      <c r="I51" s="572"/>
      <c r="J51" s="572"/>
    </row>
    <row r="52" spans="2:10">
      <c r="B52" s="572"/>
      <c r="C52" s="572"/>
      <c r="D52" s="246" t="s">
        <v>435</v>
      </c>
      <c r="E52" s="246" t="s">
        <v>436</v>
      </c>
      <c r="F52" s="21" t="s">
        <v>62</v>
      </c>
      <c r="G52" s="572"/>
      <c r="H52" s="572"/>
      <c r="I52" s="572"/>
      <c r="J52" s="572"/>
    </row>
    <row r="53" spans="2:10">
      <c r="B53" s="572"/>
      <c r="C53" s="572"/>
      <c r="D53" s="21" t="s">
        <v>441</v>
      </c>
      <c r="E53" s="21" t="s">
        <v>442</v>
      </c>
      <c r="F53" s="21" t="s">
        <v>62</v>
      </c>
      <c r="G53" s="572"/>
      <c r="H53" s="572"/>
      <c r="I53" s="572"/>
      <c r="J53" s="572"/>
    </row>
    <row r="54" spans="2:10" ht="15">
      <c r="B54" s="18"/>
      <c r="C54" s="18"/>
      <c r="D54" s="21" t="s">
        <v>433</v>
      </c>
      <c r="E54" s="451" t="s">
        <v>434</v>
      </c>
      <c r="F54" s="21" t="s">
        <v>62</v>
      </c>
      <c r="G54" s="18"/>
      <c r="H54" s="18"/>
      <c r="I54" s="18"/>
      <c r="J54" s="18"/>
    </row>
    <row r="55" spans="2:10" s="576" customFormat="1" ht="15">
      <c r="B55" s="571"/>
      <c r="C55" s="571"/>
      <c r="D55" s="656" t="s">
        <v>870</v>
      </c>
      <c r="E55" s="657" t="s">
        <v>871</v>
      </c>
      <c r="F55" s="656" t="s">
        <v>62</v>
      </c>
      <c r="G55" s="571"/>
      <c r="H55" s="571"/>
      <c r="I55" s="571"/>
      <c r="J55" s="571"/>
    </row>
    <row r="56" spans="2:10" s="576" customFormat="1" ht="15">
      <c r="B56" s="571"/>
      <c r="C56" s="571"/>
      <c r="D56" s="656" t="s">
        <v>896</v>
      </c>
      <c r="E56" s="657" t="s">
        <v>897</v>
      </c>
      <c r="F56" s="656" t="s">
        <v>62</v>
      </c>
      <c r="G56" s="571"/>
      <c r="H56" s="571"/>
      <c r="I56" s="571"/>
      <c r="J56" s="571"/>
    </row>
    <row r="57" spans="2:10" s="576" customFormat="1" ht="15">
      <c r="B57" s="571"/>
      <c r="C57" s="571"/>
      <c r="D57" s="656" t="s">
        <v>872</v>
      </c>
      <c r="E57" s="657" t="s">
        <v>873</v>
      </c>
      <c r="F57" s="656" t="s">
        <v>62</v>
      </c>
      <c r="G57" s="571"/>
      <c r="H57" s="571"/>
      <c r="I57" s="571"/>
      <c r="J57" s="571"/>
    </row>
    <row r="58" spans="2:10">
      <c r="B58" s="18"/>
      <c r="C58" s="18"/>
      <c r="D58" s="21" t="s">
        <v>443</v>
      </c>
      <c r="E58" s="457" t="s">
        <v>444</v>
      </c>
      <c r="F58" s="21" t="s">
        <v>62</v>
      </c>
      <c r="G58" s="18"/>
      <c r="H58" s="18"/>
      <c r="I58" s="18"/>
      <c r="J58" s="18"/>
    </row>
    <row r="59" spans="2:10">
      <c r="B59" s="18"/>
      <c r="C59" s="18"/>
      <c r="D59" s="21" t="s">
        <v>439</v>
      </c>
      <c r="E59" s="21" t="s">
        <v>440</v>
      </c>
      <c r="F59" s="21" t="s">
        <v>62</v>
      </c>
      <c r="G59" s="18"/>
      <c r="H59" s="18"/>
      <c r="I59" s="18"/>
      <c r="J59" s="18"/>
    </row>
    <row r="60" spans="2:10">
      <c r="D60" s="9" t="s">
        <v>778</v>
      </c>
      <c r="E60" s="9" t="s">
        <v>779</v>
      </c>
      <c r="F60" s="9" t="s">
        <v>62</v>
      </c>
    </row>
    <row r="61" spans="2:10">
      <c r="D61" s="9" t="s">
        <v>780</v>
      </c>
      <c r="E61" s="9" t="s">
        <v>781</v>
      </c>
      <c r="F61" s="9" t="s">
        <v>62</v>
      </c>
    </row>
    <row r="62" spans="2:10">
      <c r="D62" s="9" t="s">
        <v>789</v>
      </c>
      <c r="E62" s="9" t="s">
        <v>782</v>
      </c>
      <c r="F62" s="9" t="s">
        <v>62</v>
      </c>
    </row>
    <row r="63" spans="2:10">
      <c r="B63" s="576"/>
      <c r="C63" s="576"/>
      <c r="D63" s="9" t="s">
        <v>790</v>
      </c>
      <c r="E63" s="9" t="s">
        <v>791</v>
      </c>
      <c r="F63" s="9" t="s">
        <v>62</v>
      </c>
      <c r="G63" s="576"/>
      <c r="H63" s="576"/>
      <c r="I63" s="576"/>
      <c r="J63" s="576"/>
    </row>
    <row r="64" spans="2:10">
      <c r="B64" s="576"/>
      <c r="C64" s="576"/>
      <c r="D64" s="21" t="s">
        <v>249</v>
      </c>
      <c r="E64" s="23" t="s">
        <v>295</v>
      </c>
      <c r="F64" s="21" t="s">
        <v>62</v>
      </c>
      <c r="G64" s="576"/>
      <c r="H64" s="652" t="s">
        <v>867</v>
      </c>
      <c r="I64" s="576"/>
      <c r="J64" s="576" t="s">
        <v>922</v>
      </c>
    </row>
    <row r="65" spans="2:13">
      <c r="B65" s="576"/>
      <c r="C65" s="576"/>
      <c r="D65" s="21" t="s">
        <v>418</v>
      </c>
      <c r="E65" s="23" t="s">
        <v>420</v>
      </c>
      <c r="F65" s="21" t="s">
        <v>62</v>
      </c>
      <c r="G65" s="576"/>
      <c r="H65" s="652" t="s">
        <v>867</v>
      </c>
      <c r="I65" s="576"/>
      <c r="J65" s="576"/>
    </row>
    <row r="66" spans="2:13">
      <c r="D66" s="21" t="s">
        <v>419</v>
      </c>
      <c r="E66" s="23" t="s">
        <v>421</v>
      </c>
      <c r="F66" s="21" t="s">
        <v>62</v>
      </c>
      <c r="H66" s="652" t="s">
        <v>867</v>
      </c>
    </row>
    <row r="67" spans="2:13" s="576" customFormat="1">
      <c r="D67" s="658" t="s">
        <v>874</v>
      </c>
      <c r="E67" s="658" t="s">
        <v>875</v>
      </c>
      <c r="F67" s="658" t="s">
        <v>62</v>
      </c>
      <c r="H67" s="652"/>
    </row>
    <row r="68" spans="2:13">
      <c r="B68" s="254" t="s">
        <v>162</v>
      </c>
      <c r="C68" s="254"/>
      <c r="D68" s="255" t="s">
        <v>250</v>
      </c>
      <c r="E68" s="255" t="s">
        <v>296</v>
      </c>
      <c r="F68" s="255" t="s">
        <v>163</v>
      </c>
      <c r="G68" s="254"/>
      <c r="H68" s="254"/>
      <c r="I68" s="254"/>
      <c r="J68" s="254"/>
    </row>
    <row r="69" spans="2:13">
      <c r="B69" s="18"/>
      <c r="C69" s="18"/>
      <c r="D69" s="21" t="s">
        <v>410</v>
      </c>
      <c r="E69" s="21" t="s">
        <v>411</v>
      </c>
      <c r="F69" s="21" t="s">
        <v>163</v>
      </c>
      <c r="G69" s="18"/>
      <c r="H69" s="18"/>
      <c r="I69" s="18"/>
      <c r="J69" s="18"/>
    </row>
    <row r="70" spans="2:13">
      <c r="B70" s="571"/>
      <c r="C70" s="571"/>
      <c r="D70" s="21" t="s">
        <v>412</v>
      </c>
      <c r="E70" s="21" t="s">
        <v>413</v>
      </c>
      <c r="F70" s="21" t="s">
        <v>163</v>
      </c>
      <c r="G70" s="571"/>
      <c r="H70" s="571"/>
      <c r="I70" s="571"/>
      <c r="J70" s="571"/>
    </row>
    <row r="71" spans="2:13">
      <c r="B71" s="572"/>
      <c r="C71" s="572"/>
      <c r="D71" s="3" t="s">
        <v>783</v>
      </c>
      <c r="E71" s="3" t="s">
        <v>784</v>
      </c>
      <c r="F71" s="3" t="s">
        <v>163</v>
      </c>
      <c r="G71" s="572"/>
      <c r="H71" s="572"/>
      <c r="I71" s="572"/>
      <c r="J71" s="572"/>
      <c r="K71" s="1"/>
      <c r="L71" s="1"/>
      <c r="M71" s="1"/>
    </row>
    <row r="72" spans="2:13" s="576" customFormat="1">
      <c r="B72" s="572"/>
      <c r="C72" s="572"/>
      <c r="D72" s="650" t="s">
        <v>857</v>
      </c>
      <c r="E72" s="650" t="s">
        <v>858</v>
      </c>
      <c r="F72" s="3" t="s">
        <v>163</v>
      </c>
      <c r="G72" s="572"/>
      <c r="H72" s="572"/>
      <c r="I72" s="572"/>
      <c r="J72" s="572"/>
      <c r="K72" s="1"/>
      <c r="L72" s="1"/>
      <c r="M72" s="1"/>
    </row>
    <row r="73" spans="2:13" s="576" customFormat="1">
      <c r="B73" s="572"/>
      <c r="C73" s="572"/>
      <c r="D73" s="457" t="s">
        <v>859</v>
      </c>
      <c r="E73" s="457" t="s">
        <v>860</v>
      </c>
      <c r="F73" s="3" t="s">
        <v>163</v>
      </c>
      <c r="G73" s="572"/>
      <c r="H73" s="572"/>
      <c r="I73" s="572"/>
      <c r="J73" s="572"/>
      <c r="K73" s="1"/>
      <c r="L73" s="1"/>
      <c r="M73" s="1"/>
    </row>
    <row r="74" spans="2:13" s="576" customFormat="1">
      <c r="B74" s="572" t="s">
        <v>39</v>
      </c>
      <c r="C74" s="572"/>
      <c r="D74" s="11" t="s">
        <v>868</v>
      </c>
      <c r="E74" s="576" t="s">
        <v>869</v>
      </c>
      <c r="F74" s="3" t="s">
        <v>163</v>
      </c>
      <c r="G74" s="3" t="s">
        <v>1161</v>
      </c>
      <c r="H74" s="572"/>
      <c r="I74" s="572"/>
      <c r="J74" s="572"/>
      <c r="K74" s="1"/>
      <c r="L74" s="1"/>
      <c r="M74" s="1"/>
    </row>
    <row r="75" spans="2:13" s="576" customFormat="1">
      <c r="B75" s="572"/>
      <c r="C75" s="572"/>
      <c r="D75" s="11" t="s">
        <v>937</v>
      </c>
      <c r="E75" s="576" t="s">
        <v>938</v>
      </c>
      <c r="F75" s="3" t="s">
        <v>163</v>
      </c>
      <c r="H75" s="572"/>
      <c r="I75" s="572"/>
      <c r="J75" s="572"/>
      <c r="K75" s="1"/>
      <c r="L75" s="1"/>
      <c r="M75" s="1"/>
    </row>
    <row r="76" spans="2:13" s="576" customFormat="1">
      <c r="B76" s="572"/>
      <c r="C76" s="572"/>
      <c r="D76" s="11" t="s">
        <v>939</v>
      </c>
      <c r="E76" s="576" t="s">
        <v>940</v>
      </c>
      <c r="F76" s="3" t="s">
        <v>163</v>
      </c>
      <c r="H76" s="572"/>
      <c r="I76" s="572"/>
      <c r="J76" s="572"/>
      <c r="K76" s="1"/>
      <c r="L76" s="1"/>
      <c r="M76" s="1"/>
    </row>
    <row r="77" spans="2:13" s="576" customFormat="1">
      <c r="B77" s="572"/>
      <c r="C77" s="572"/>
      <c r="D77" s="11" t="s">
        <v>933</v>
      </c>
      <c r="E77" s="576" t="s">
        <v>935</v>
      </c>
      <c r="F77" s="3" t="s">
        <v>62</v>
      </c>
      <c r="H77" s="572"/>
      <c r="I77" s="572"/>
      <c r="J77" s="572"/>
      <c r="K77" s="1"/>
      <c r="L77" s="1"/>
      <c r="M77" s="1"/>
    </row>
    <row r="78" spans="2:13" s="576" customFormat="1">
      <c r="B78" s="572"/>
      <c r="C78" s="572"/>
      <c r="D78" s="11" t="s">
        <v>934</v>
      </c>
      <c r="E78" s="576" t="s">
        <v>936</v>
      </c>
      <c r="F78" s="3" t="s">
        <v>62</v>
      </c>
      <c r="H78" s="572"/>
      <c r="I78" s="572"/>
      <c r="J78" s="572"/>
      <c r="K78" s="1"/>
      <c r="L78" s="1"/>
      <c r="M78" s="1"/>
    </row>
    <row r="79" spans="2:13">
      <c r="B79" s="641" t="s">
        <v>162</v>
      </c>
      <c r="C79" s="641"/>
      <c r="D79" s="627" t="s">
        <v>809</v>
      </c>
      <c r="E79" s="627" t="s">
        <v>810</v>
      </c>
      <c r="F79" s="627" t="s">
        <v>163</v>
      </c>
      <c r="G79" s="641"/>
      <c r="H79" s="641"/>
      <c r="I79" s="641"/>
      <c r="J79" s="641"/>
      <c r="K79" s="1"/>
      <c r="L79" s="1"/>
      <c r="M79" s="1"/>
    </row>
    <row r="80" spans="2:13" s="576" customFormat="1">
      <c r="B80" s="1"/>
      <c r="C80" s="1"/>
      <c r="D80" s="457" t="s">
        <v>916</v>
      </c>
      <c r="E80" s="457" t="s">
        <v>918</v>
      </c>
      <c r="F80" s="457" t="s">
        <v>915</v>
      </c>
      <c r="G80" s="1"/>
      <c r="H80" s="1"/>
      <c r="I80" s="1"/>
      <c r="J80" s="1"/>
      <c r="K80" s="1"/>
      <c r="L80" s="1"/>
      <c r="M80" s="1"/>
    </row>
    <row r="81" spans="2:13" s="576" customFormat="1">
      <c r="B81" s="1"/>
      <c r="C81" s="1"/>
      <c r="D81" s="457" t="s">
        <v>917</v>
      </c>
      <c r="E81" s="457" t="s">
        <v>919</v>
      </c>
      <c r="F81" s="457" t="s">
        <v>915</v>
      </c>
      <c r="G81" s="1"/>
      <c r="H81" s="1"/>
      <c r="I81" s="1"/>
      <c r="J81" s="1"/>
      <c r="K81" s="1"/>
      <c r="L81" s="1"/>
      <c r="M81" s="1"/>
    </row>
    <row r="82" spans="2:13" s="576" customFormat="1">
      <c r="B82" s="1"/>
      <c r="C82" s="1"/>
      <c r="D82" s="457" t="s">
        <v>921</v>
      </c>
      <c r="E82" s="457" t="s">
        <v>920</v>
      </c>
      <c r="F82" s="457" t="s">
        <v>915</v>
      </c>
      <c r="G82" s="1"/>
      <c r="H82" s="1"/>
      <c r="I82" s="1"/>
      <c r="J82" s="1"/>
      <c r="K82" s="1"/>
      <c r="L82" s="1"/>
      <c r="M82" s="1"/>
    </row>
    <row r="83" spans="2:13">
      <c r="B83" t="s">
        <v>39</v>
      </c>
      <c r="D83" t="str">
        <f>"SUP"&amp;D6</f>
        <v>SUPCOA</v>
      </c>
      <c r="E83" s="571" t="str">
        <f>"Supply "&amp;E6</f>
        <v>Supply Coal</v>
      </c>
      <c r="F83" s="571" t="str">
        <f>F6</f>
        <v>PJ</v>
      </c>
    </row>
    <row r="84" spans="2:13">
      <c r="B84" s="576"/>
      <c r="C84" s="576"/>
      <c r="D84" s="576" t="str">
        <f>"SUP"&amp;D7</f>
        <v>SUPNGA</v>
      </c>
      <c r="E84" s="571" t="str">
        <f>"Supply "&amp;E7</f>
        <v>Supply Natural Gas</v>
      </c>
      <c r="F84" s="571" t="str">
        <f>F7</f>
        <v>PJ</v>
      </c>
    </row>
    <row r="85" spans="2:13" s="576" customFormat="1">
      <c r="D85" s="576" t="str">
        <f>"SUP"&amp;D8</f>
        <v>SUPGAS</v>
      </c>
      <c r="E85" s="571" t="str">
        <f>"Supply "&amp;E8</f>
        <v>Supply Gas from national gas grid</v>
      </c>
      <c r="F85" s="571" t="str">
        <f>F8</f>
        <v>PJ</v>
      </c>
    </row>
    <row r="86" spans="2:13">
      <c r="B86" s="576"/>
      <c r="C86" s="576"/>
      <c r="D86" s="576" t="str">
        <f>"SUP"&amp;D10</f>
        <v>SUPWST</v>
      </c>
      <c r="E86" s="571" t="str">
        <f>"Supply "&amp;E10</f>
        <v>Supply Waste</v>
      </c>
      <c r="F86" s="571" t="str">
        <f>F10</f>
        <v>PJ</v>
      </c>
    </row>
    <row r="87" spans="2:13">
      <c r="B87" s="576"/>
      <c r="C87" s="576"/>
      <c r="D87" s="576" t="str">
        <f>"SUP"&amp;D11</f>
        <v>SUPSTR</v>
      </c>
      <c r="E87" s="571" t="str">
        <f>"Supply "&amp;E11</f>
        <v>Supply Straw</v>
      </c>
      <c r="F87" s="571" t="str">
        <f>F11</f>
        <v>PJ</v>
      </c>
    </row>
    <row r="88" spans="2:13">
      <c r="B88" s="576"/>
      <c r="C88" s="576"/>
      <c r="D88" s="634" t="s">
        <v>845</v>
      </c>
      <c r="E88" s="646" t="s">
        <v>846</v>
      </c>
      <c r="F88" s="646" t="s">
        <v>62</v>
      </c>
    </row>
    <row r="89" spans="2:13" s="576" customFormat="1">
      <c r="D89" s="634" t="s">
        <v>849</v>
      </c>
      <c r="E89" s="646" t="s">
        <v>850</v>
      </c>
      <c r="F89" s="646" t="s">
        <v>62</v>
      </c>
    </row>
    <row r="90" spans="2:13">
      <c r="B90" s="576"/>
      <c r="C90" s="576"/>
      <c r="D90" s="576" t="str">
        <f t="shared" ref="D90:D99" si="0">"SUP"&amp;D14</f>
        <v>SUPBGA</v>
      </c>
      <c r="E90" s="571" t="str">
        <f t="shared" ref="E90:E99" si="1">"Supply "&amp;E14</f>
        <v>Supply Biogas</v>
      </c>
      <c r="F90" s="571" t="str">
        <f t="shared" ref="F90:F99" si="2">F14</f>
        <v>PJ</v>
      </c>
    </row>
    <row r="91" spans="2:13">
      <c r="B91" s="576"/>
      <c r="C91" s="576"/>
      <c r="D91" s="576" t="str">
        <f t="shared" si="0"/>
        <v>SUPWIN</v>
      </c>
      <c r="E91" s="571" t="str">
        <f t="shared" si="1"/>
        <v>Supply Wind</v>
      </c>
      <c r="F91" s="571" t="str">
        <f t="shared" si="2"/>
        <v>PJ</v>
      </c>
    </row>
    <row r="92" spans="2:13">
      <c r="B92" s="576"/>
      <c r="C92" s="576"/>
      <c r="D92" s="576" t="str">
        <f t="shared" si="0"/>
        <v>SUPHYD</v>
      </c>
      <c r="E92" s="571" t="str">
        <f t="shared" si="1"/>
        <v>Supply Hydro</v>
      </c>
      <c r="F92" s="571" t="str">
        <f t="shared" si="2"/>
        <v>PJ</v>
      </c>
    </row>
    <row r="93" spans="2:13">
      <c r="B93" s="576"/>
      <c r="C93" s="576"/>
      <c r="D93" s="576" t="str">
        <f t="shared" si="0"/>
        <v>SUPSOL</v>
      </c>
      <c r="E93" s="571" t="str">
        <f t="shared" si="1"/>
        <v>Supply Solar</v>
      </c>
      <c r="F93" s="571" t="str">
        <f t="shared" si="2"/>
        <v>PJ</v>
      </c>
    </row>
    <row r="94" spans="2:13">
      <c r="B94" s="576"/>
      <c r="C94" s="576"/>
      <c r="D94" s="576" t="str">
        <f t="shared" si="0"/>
        <v>SUPGEO</v>
      </c>
      <c r="E94" s="571" t="str">
        <f t="shared" si="1"/>
        <v>Supply Geothermal</v>
      </c>
      <c r="F94" s="571" t="str">
        <f t="shared" si="2"/>
        <v>PJ</v>
      </c>
    </row>
    <row r="95" spans="2:13">
      <c r="B95" s="576"/>
      <c r="C95" s="576"/>
      <c r="D95" s="576" t="str">
        <f t="shared" si="0"/>
        <v>SUPWAV</v>
      </c>
      <c r="E95" s="571" t="str">
        <f t="shared" si="1"/>
        <v>Supply Wave</v>
      </c>
      <c r="F95" s="571" t="str">
        <f t="shared" si="2"/>
        <v>PJ</v>
      </c>
    </row>
    <row r="96" spans="2:13">
      <c r="B96" s="576"/>
      <c r="C96" s="576"/>
      <c r="D96" s="576" t="str">
        <f t="shared" si="0"/>
        <v>SUPWPE</v>
      </c>
      <c r="E96" s="571" t="str">
        <f t="shared" si="1"/>
        <v>Supply Wood pellets</v>
      </c>
      <c r="F96" s="571" t="str">
        <f t="shared" si="2"/>
        <v>PJ</v>
      </c>
    </row>
    <row r="97" spans="2:6">
      <c r="B97" s="576"/>
      <c r="C97" s="576"/>
      <c r="D97" s="576" t="str">
        <f t="shared" si="0"/>
        <v>SUPWCH</v>
      </c>
      <c r="E97" s="571" t="str">
        <f t="shared" si="1"/>
        <v>Supply Wood chips and wood waste</v>
      </c>
      <c r="F97" s="571" t="str">
        <f t="shared" si="2"/>
        <v>PJ</v>
      </c>
    </row>
    <row r="98" spans="2:6">
      <c r="B98" s="576"/>
      <c r="C98" s="576"/>
      <c r="D98" s="576" t="str">
        <f t="shared" si="0"/>
        <v>SUPFIW</v>
      </c>
      <c r="E98" s="571" t="str">
        <f t="shared" si="1"/>
        <v>Supply Firewood</v>
      </c>
      <c r="F98" s="571" t="str">
        <f t="shared" si="2"/>
        <v>PJ</v>
      </c>
    </row>
    <row r="99" spans="2:6">
      <c r="B99" s="576"/>
      <c r="C99" s="576"/>
      <c r="D99" s="576" t="str">
        <f t="shared" si="0"/>
        <v>SUPCRD</v>
      </c>
      <c r="E99" s="571" t="str">
        <f t="shared" si="1"/>
        <v>Supply Crude Oil</v>
      </c>
      <c r="F99" s="571" t="str">
        <f t="shared" si="2"/>
        <v>PJ</v>
      </c>
    </row>
    <row r="100" spans="2:6">
      <c r="B100" s="576"/>
      <c r="C100" s="576"/>
      <c r="D100" s="576" t="str">
        <f t="shared" ref="D100:D105" si="3">"SUP"&amp;D25</f>
        <v>SUPLPG</v>
      </c>
      <c r="E100" s="571" t="str">
        <f t="shared" ref="E100:E105" si="4">"Supply "&amp;E25</f>
        <v>Supply Liquid petrol gas</v>
      </c>
      <c r="F100" s="571" t="str">
        <f t="shared" ref="F100:F105" si="5">F25</f>
        <v>PJ</v>
      </c>
    </row>
    <row r="101" spans="2:6">
      <c r="B101" s="576"/>
      <c r="C101" s="576"/>
      <c r="D101" s="576" t="str">
        <f t="shared" si="3"/>
        <v>SUPLVN</v>
      </c>
      <c r="E101" s="571" t="str">
        <f t="shared" si="4"/>
        <v>Supply Naphtha (Petroleoum)</v>
      </c>
      <c r="F101" s="571" t="str">
        <f t="shared" si="5"/>
        <v>PJ</v>
      </c>
    </row>
    <row r="102" spans="2:6">
      <c r="B102" s="576"/>
      <c r="C102" s="576"/>
      <c r="D102" s="576" t="str">
        <f t="shared" si="3"/>
        <v>SUPGSL</v>
      </c>
      <c r="E102" s="571" t="str">
        <f t="shared" si="4"/>
        <v>Supply Gasoline</v>
      </c>
      <c r="F102" s="571" t="str">
        <f t="shared" si="5"/>
        <v>PJ</v>
      </c>
    </row>
    <row r="103" spans="2:6">
      <c r="B103" s="576"/>
      <c r="C103" s="576"/>
      <c r="D103" s="576" t="str">
        <f t="shared" si="3"/>
        <v>SUPKER</v>
      </c>
      <c r="E103" s="571" t="str">
        <f t="shared" si="4"/>
        <v>Supply Kerosene</v>
      </c>
      <c r="F103" s="571" t="str">
        <f t="shared" si="5"/>
        <v>PJ</v>
      </c>
    </row>
    <row r="104" spans="2:6">
      <c r="B104" s="576"/>
      <c r="C104" s="576"/>
      <c r="D104" s="576" t="str">
        <f t="shared" si="3"/>
        <v>SUPDSL</v>
      </c>
      <c r="E104" s="571" t="str">
        <f t="shared" si="4"/>
        <v>Supply Diesel</v>
      </c>
      <c r="F104" s="571" t="str">
        <f t="shared" si="5"/>
        <v>PJ</v>
      </c>
    </row>
    <row r="105" spans="2:6">
      <c r="B105" s="576"/>
      <c r="C105" s="576"/>
      <c r="D105" s="576" t="str">
        <f t="shared" si="3"/>
        <v>SUPHFO</v>
      </c>
      <c r="E105" s="571" t="str">
        <f t="shared" si="4"/>
        <v>Supply Heavy Fuel Oil</v>
      </c>
      <c r="F105" s="571" t="str">
        <f t="shared" si="5"/>
        <v>PJ</v>
      </c>
    </row>
    <row r="106" spans="2:6">
      <c r="B106" s="576"/>
      <c r="C106" s="576"/>
      <c r="D106" s="576" t="str">
        <f>"SUP"&amp;D32</f>
        <v>SUPKRB1</v>
      </c>
      <c r="E106" s="571" t="str">
        <f>"Supply "&amp;E32</f>
        <v>Supply Bio Kerosene G1</v>
      </c>
      <c r="F106" s="571" t="str">
        <f>F32</f>
        <v>PJ</v>
      </c>
    </row>
    <row r="107" spans="2:6">
      <c r="B107" s="576"/>
      <c r="C107" s="576"/>
      <c r="D107" s="576" t="str">
        <f>"SUP"&amp;D33</f>
        <v>SUPKRB2</v>
      </c>
      <c r="E107" s="571" t="str">
        <f>"Supply "&amp;E33</f>
        <v>Supply Bio Kerosene G2</v>
      </c>
      <c r="F107" s="571" t="str">
        <f>F33</f>
        <v>PJ</v>
      </c>
    </row>
    <row r="108" spans="2:6">
      <c r="B108" s="576"/>
      <c r="C108" s="576"/>
      <c r="D108" s="576" t="s">
        <v>941</v>
      </c>
      <c r="E108" s="571" t="s">
        <v>942</v>
      </c>
      <c r="F108" s="571" t="str">
        <f>F35</f>
        <v>PJ</v>
      </c>
    </row>
    <row r="109" spans="2:6">
      <c r="B109" s="576"/>
      <c r="C109" s="576"/>
      <c r="D109" s="576" t="str">
        <f>"SUP"&amp;D38</f>
        <v>SUPDSB1</v>
      </c>
      <c r="E109" s="571" t="str">
        <f>"Supply "&amp;E38</f>
        <v>Supply Biodiesel G1</v>
      </c>
      <c r="F109" s="571" t="str">
        <f>F38</f>
        <v>PJ</v>
      </c>
    </row>
    <row r="110" spans="2:6">
      <c r="B110" s="576"/>
      <c r="C110" s="576"/>
      <c r="D110" s="576" t="str">
        <f>"SUP"&amp;D39</f>
        <v>SUPDSB2</v>
      </c>
      <c r="E110" s="571" t="str">
        <f>"Supply "&amp;E39</f>
        <v>Supply Biodiesel G2</v>
      </c>
      <c r="F110" s="571" t="str">
        <f>F39</f>
        <v>PJ</v>
      </c>
    </row>
    <row r="111" spans="2:6">
      <c r="B111" s="576"/>
      <c r="C111" s="576"/>
      <c r="D111" s="576" t="s">
        <v>913</v>
      </c>
      <c r="E111" s="571" t="s">
        <v>914</v>
      </c>
      <c r="F111" s="571" t="str">
        <f>F41</f>
        <v>PJ</v>
      </c>
    </row>
    <row r="112" spans="2:6" s="576" customFormat="1">
      <c r="D112" s="634" t="s">
        <v>1104</v>
      </c>
      <c r="E112" s="646" t="s">
        <v>1103</v>
      </c>
      <c r="F112" s="571" t="str">
        <f>F42</f>
        <v>PJ</v>
      </c>
    </row>
    <row r="113" spans="2:7" s="576" customFormat="1">
      <c r="D113" s="634" t="s">
        <v>1107</v>
      </c>
      <c r="E113" s="646" t="s">
        <v>1108</v>
      </c>
      <c r="F113" s="571" t="str">
        <f>F43</f>
        <v>PJ</v>
      </c>
    </row>
    <row r="114" spans="2:7">
      <c r="B114" s="576"/>
      <c r="C114" s="576"/>
      <c r="D114" s="576" t="str">
        <f>"SUP"&amp;D46</f>
        <v>SUPCRN</v>
      </c>
      <c r="E114" s="571" t="str">
        <f>"Supply "&amp;E46</f>
        <v>Supply Corn</v>
      </c>
      <c r="F114" s="571" t="str">
        <f>F46</f>
        <v>PJ</v>
      </c>
    </row>
    <row r="115" spans="2:7">
      <c r="B115" s="576"/>
      <c r="C115" s="576"/>
      <c r="D115" s="576" t="str">
        <f>"SUP"&amp;D47</f>
        <v>SUPRPS</v>
      </c>
      <c r="E115" s="571" t="str">
        <f>"Supply "&amp;E47</f>
        <v>Supply Rapeseed</v>
      </c>
      <c r="F115" s="571" t="str">
        <f>F47</f>
        <v>PJ</v>
      </c>
    </row>
    <row r="116" spans="2:7">
      <c r="B116" s="576"/>
      <c r="C116" s="576"/>
      <c r="D116" s="576" t="str">
        <f>"SUP"&amp;D48</f>
        <v>SUPSGB</v>
      </c>
      <c r="E116" s="571" t="str">
        <f>"Supply "&amp;E48</f>
        <v>Supply Sugar Beet</v>
      </c>
      <c r="F116" s="571" t="str">
        <f>F48</f>
        <v>PJ</v>
      </c>
    </row>
    <row r="117" spans="2:7">
      <c r="B117" s="576"/>
      <c r="C117" s="576"/>
      <c r="D117" s="634" t="s">
        <v>899</v>
      </c>
      <c r="E117" s="646" t="s">
        <v>912</v>
      </c>
      <c r="F117" s="571" t="str">
        <f>F49</f>
        <v>PJ</v>
      </c>
    </row>
    <row r="118" spans="2:7">
      <c r="B118" s="576"/>
      <c r="C118" s="576"/>
      <c r="D118" s="576" t="str">
        <f>"SUP"&amp;D52</f>
        <v>SUPDDGS</v>
      </c>
      <c r="E118" s="571" t="str">
        <f>"Supply "&amp;E52</f>
        <v>Supply Ethanol</v>
      </c>
      <c r="F118" s="571" t="str">
        <f>F52</f>
        <v>PJ</v>
      </c>
    </row>
    <row r="119" spans="2:7">
      <c r="B119" s="576"/>
      <c r="C119" s="576"/>
      <c r="D119" s="576" t="str">
        <f>"SUP"&amp;D53</f>
        <v>SUPGLY</v>
      </c>
      <c r="E119" s="571" t="str">
        <f>"Supply "&amp;E53</f>
        <v>Supply Glycerol</v>
      </c>
      <c r="F119" s="571" t="str">
        <f>F53</f>
        <v>PJ</v>
      </c>
    </row>
    <row r="120" spans="2:7">
      <c r="B120" s="576"/>
      <c r="C120" s="576"/>
      <c r="D120" s="576" t="str">
        <f>"SUP"&amp;D54</f>
        <v>SUPLNB</v>
      </c>
      <c r="E120" s="571" t="str">
        <f>"Supply "&amp;E54</f>
        <v>Supply Bio Naphtha (Petroleoum)</v>
      </c>
      <c r="F120" s="571" t="str">
        <f>F54</f>
        <v>PJ</v>
      </c>
    </row>
    <row r="121" spans="2:7" s="576" customFormat="1">
      <c r="D121" s="576" t="str">
        <f>"SUP"&amp;D55</f>
        <v>SUPH2</v>
      </c>
      <c r="E121" s="571" t="str">
        <f>"Supply "&amp;E55</f>
        <v>Supply Hydrogen</v>
      </c>
      <c r="F121" s="571" t="str">
        <f>F55</f>
        <v>PJ</v>
      </c>
    </row>
    <row r="122" spans="2:7">
      <c r="B122" s="576"/>
      <c r="C122" s="576"/>
      <c r="D122" s="576" t="str">
        <f t="shared" ref="D122:D126" si="6">"SUP"&amp;D58</f>
        <v>SUPRPC</v>
      </c>
      <c r="E122" s="571" t="str">
        <f t="shared" ref="E122:E126" si="7">"Supply "&amp;E58</f>
        <v>Supply Rape Cake</v>
      </c>
      <c r="F122" s="571" t="str">
        <f t="shared" ref="F122:F126" si="8">F58</f>
        <v>PJ</v>
      </c>
    </row>
    <row r="123" spans="2:7">
      <c r="B123" s="576"/>
      <c r="C123" s="576"/>
      <c r="D123" s="576" t="str">
        <f t="shared" si="6"/>
        <v>SUPSGP</v>
      </c>
      <c r="E123" s="571" t="str">
        <f t="shared" si="7"/>
        <v>Supply Sugar Beet Pulp</v>
      </c>
      <c r="F123" s="571" t="str">
        <f t="shared" si="8"/>
        <v>PJ</v>
      </c>
    </row>
    <row r="124" spans="2:7">
      <c r="B124" s="576"/>
      <c r="C124" s="576"/>
      <c r="D124" s="576" t="str">
        <f t="shared" si="6"/>
        <v>SUPDME</v>
      </c>
      <c r="E124" s="571" t="str">
        <f t="shared" si="7"/>
        <v>Supply Dimethyl ether</v>
      </c>
      <c r="F124" s="571" t="str">
        <f t="shared" si="8"/>
        <v>PJ</v>
      </c>
    </row>
    <row r="125" spans="2:7">
      <c r="B125" s="576"/>
      <c r="C125" s="576"/>
      <c r="D125" s="576" t="str">
        <f t="shared" si="6"/>
        <v>SUPMNR</v>
      </c>
      <c r="E125" s="571" t="str">
        <f t="shared" si="7"/>
        <v>Supply Manure (Gylle)</v>
      </c>
      <c r="F125" s="571" t="str">
        <f t="shared" si="8"/>
        <v>PJ</v>
      </c>
    </row>
    <row r="126" spans="2:7">
      <c r="B126" s="576"/>
      <c r="C126" s="576"/>
      <c r="D126" s="576" t="str">
        <f t="shared" si="6"/>
        <v>SUPAGSL</v>
      </c>
      <c r="E126" s="571" t="str">
        <f t="shared" si="7"/>
        <v>Supply Aviation gasoline</v>
      </c>
      <c r="F126" s="571" t="str">
        <f t="shared" si="8"/>
        <v>PJ</v>
      </c>
    </row>
    <row r="127" spans="2:7">
      <c r="B127" s="576"/>
      <c r="C127" s="576"/>
      <c r="D127" s="576" t="str">
        <f>"SUP"&amp;D63</f>
        <v>SUPMOV</v>
      </c>
      <c r="E127" s="571" t="str">
        <f>"Supply "&amp;E63</f>
        <v>Supply Movement - Dummy commodity for bike and walk</v>
      </c>
      <c r="F127" s="571" t="str">
        <f>F63</f>
        <v>PJ</v>
      </c>
    </row>
    <row r="128" spans="2:7">
      <c r="B128" s="576" t="s">
        <v>39</v>
      </c>
      <c r="D128" s="576" t="s">
        <v>924</v>
      </c>
      <c r="E128" s="576" t="s">
        <v>928</v>
      </c>
      <c r="F128" s="662" t="s">
        <v>163</v>
      </c>
      <c r="G128" s="571"/>
    </row>
    <row r="129" spans="2:7">
      <c r="B129" s="576"/>
      <c r="D129" s="576" t="s">
        <v>926</v>
      </c>
      <c r="E129" s="576" t="s">
        <v>929</v>
      </c>
      <c r="F129" s="662" t="s">
        <v>163</v>
      </c>
      <c r="G129" s="571"/>
    </row>
    <row r="130" spans="2:7">
      <c r="B130" s="576"/>
      <c r="D130" s="576" t="s">
        <v>925</v>
      </c>
      <c r="E130" s="576" t="s">
        <v>930</v>
      </c>
      <c r="F130" s="662" t="s">
        <v>163</v>
      </c>
      <c r="G130" s="571"/>
    </row>
    <row r="131" spans="2:7">
      <c r="B131" s="576"/>
      <c r="D131" s="576" t="s">
        <v>927</v>
      </c>
      <c r="E131" s="576" t="s">
        <v>931</v>
      </c>
      <c r="F131" s="662" t="s">
        <v>163</v>
      </c>
      <c r="G131" s="571"/>
    </row>
    <row r="132" spans="2:7" s="576" customFormat="1">
      <c r="D132" s="576" t="s">
        <v>1100</v>
      </c>
      <c r="E132" s="576" t="s">
        <v>1101</v>
      </c>
      <c r="F132" s="662" t="s">
        <v>163</v>
      </c>
      <c r="G132" s="571"/>
    </row>
    <row r="133" spans="2:7" s="576" customFormat="1">
      <c r="D133" s="576" t="s">
        <v>1098</v>
      </c>
      <c r="E133" s="576" t="s">
        <v>1099</v>
      </c>
      <c r="F133" s="662" t="s">
        <v>163</v>
      </c>
      <c r="G133" s="571"/>
    </row>
    <row r="134" spans="2:7">
      <c r="B134" s="576" t="s">
        <v>162</v>
      </c>
      <c r="C134" s="576"/>
      <c r="D134" t="s">
        <v>943</v>
      </c>
      <c r="E134" t="s">
        <v>944</v>
      </c>
      <c r="F134" s="664" t="s">
        <v>163</v>
      </c>
    </row>
    <row r="135" spans="2:7">
      <c r="B135" s="576"/>
      <c r="C135" s="576"/>
      <c r="D135" s="576" t="s">
        <v>1096</v>
      </c>
      <c r="E135" s="576" t="s">
        <v>1097</v>
      </c>
      <c r="F135" s="664" t="s">
        <v>163</v>
      </c>
    </row>
  </sheetData>
  <phoneticPr fontId="32" type="noConversion"/>
  <conditionalFormatting sqref="M22:N22">
    <cfRule type="cellIs" dxfId="14" priority="1" operator="equal">
      <formula>"no"</formula>
    </cfRule>
    <cfRule type="cellIs" dxfId="13"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175"/>
  <sheetViews>
    <sheetView topLeftCell="A29" zoomScaleNormal="100" workbookViewId="0">
      <selection activeCell="C74" sqref="C74"/>
    </sheetView>
  </sheetViews>
  <sheetFormatPr defaultRowHeight="12.75"/>
  <cols>
    <col min="1" max="1" width="5.85546875" customWidth="1"/>
    <col min="2" max="2" width="12.28515625" customWidth="1"/>
    <col min="3" max="3" width="10.5703125" customWidth="1"/>
    <col min="4" max="4" width="13.28515625" bestFit="1" customWidth="1"/>
    <col min="5" max="5" width="63.28515625" bestFit="1" customWidth="1"/>
    <col min="7" max="7" width="12" customWidth="1"/>
    <col min="8" max="8" width="12.85546875" customWidth="1"/>
    <col min="9" max="9" width="14" customWidth="1"/>
  </cols>
  <sheetData>
    <row r="3" spans="1:11">
      <c r="B3" s="16" t="s">
        <v>14</v>
      </c>
      <c r="C3" s="17"/>
      <c r="D3" s="18"/>
      <c r="E3" s="18"/>
      <c r="F3" s="18"/>
      <c r="G3" s="18"/>
      <c r="H3" s="18"/>
      <c r="I3" s="18"/>
      <c r="J3" s="18"/>
    </row>
    <row r="4" spans="1:11">
      <c r="B4" s="19" t="s">
        <v>15</v>
      </c>
      <c r="C4" s="19" t="s">
        <v>0</v>
      </c>
      <c r="D4" s="19" t="s">
        <v>1</v>
      </c>
      <c r="E4" s="19" t="s">
        <v>2</v>
      </c>
      <c r="F4" s="19" t="s">
        <v>16</v>
      </c>
      <c r="G4" s="19" t="s">
        <v>17</v>
      </c>
      <c r="H4" s="19" t="s">
        <v>18</v>
      </c>
      <c r="I4" s="19" t="s">
        <v>19</v>
      </c>
      <c r="J4" s="19" t="s">
        <v>20</v>
      </c>
    </row>
    <row r="5" spans="1:11" ht="25.9" customHeight="1" thickBot="1">
      <c r="B5" s="20" t="s">
        <v>23</v>
      </c>
      <c r="C5" s="20" t="s">
        <v>24</v>
      </c>
      <c r="D5" s="20" t="s">
        <v>25</v>
      </c>
      <c r="E5" s="20" t="s">
        <v>26</v>
      </c>
      <c r="F5" s="20" t="s">
        <v>27</v>
      </c>
      <c r="G5" s="20" t="s">
        <v>28</v>
      </c>
      <c r="H5" s="20" t="s">
        <v>29</v>
      </c>
      <c r="I5" s="20" t="s">
        <v>30</v>
      </c>
      <c r="J5" s="20" t="s">
        <v>31</v>
      </c>
    </row>
    <row r="6" spans="1:11" s="9" customFormat="1">
      <c r="A6" s="3"/>
      <c r="B6" s="23" t="s">
        <v>61</v>
      </c>
      <c r="C6" s="27"/>
      <c r="D6" s="21" t="str">
        <f>$B$6&amp;Commodities!D6</f>
        <v>IMPCOA</v>
      </c>
      <c r="E6" s="21" t="str">
        <f>"Import technology - "&amp;Commodities!E6</f>
        <v>Import technology - Coal</v>
      </c>
      <c r="F6" s="23" t="s">
        <v>62</v>
      </c>
      <c r="G6" s="21"/>
      <c r="H6" s="23"/>
      <c r="I6" s="23"/>
      <c r="J6" s="23"/>
      <c r="K6" s="3"/>
    </row>
    <row r="7" spans="1:11">
      <c r="B7" s="18"/>
      <c r="C7" s="18"/>
      <c r="D7" s="21" t="str">
        <f>$B$6&amp;Commodities!D7</f>
        <v>IMPNGA</v>
      </c>
      <c r="E7" s="21" t="str">
        <f>"Import technology - "&amp;Commodities!E7</f>
        <v>Import technology - Natural Gas</v>
      </c>
      <c r="F7" s="23" t="s">
        <v>62</v>
      </c>
      <c r="G7" s="21"/>
      <c r="H7" s="18"/>
      <c r="I7" s="18"/>
      <c r="J7" s="18"/>
    </row>
    <row r="8" spans="1:11">
      <c r="B8" s="18"/>
      <c r="C8" s="18"/>
      <c r="D8" s="21" t="str">
        <f>$B$6&amp;Commodities!D10</f>
        <v>IMPWST</v>
      </c>
      <c r="E8" s="21" t="str">
        <f>"Import technology - "&amp;Commodities!E10</f>
        <v>Import technology - Waste</v>
      </c>
      <c r="F8" s="23" t="s">
        <v>62</v>
      </c>
      <c r="G8" s="21"/>
      <c r="H8" s="18"/>
      <c r="I8" s="18"/>
      <c r="J8" s="18"/>
    </row>
    <row r="9" spans="1:11">
      <c r="B9" s="18"/>
      <c r="C9" s="18"/>
      <c r="D9" s="21" t="str">
        <f>$B$6&amp;Commodities!D11</f>
        <v>IMPSTR</v>
      </c>
      <c r="E9" s="21" t="str">
        <f>"Import technology - "&amp;Commodities!E11</f>
        <v>Import technology - Straw</v>
      </c>
      <c r="F9" s="23" t="s">
        <v>62</v>
      </c>
      <c r="G9" s="21"/>
      <c r="H9" s="18"/>
      <c r="I9" s="18"/>
      <c r="J9" s="18"/>
    </row>
    <row r="10" spans="1:11">
      <c r="B10" s="18"/>
      <c r="C10" s="18"/>
      <c r="D10" s="21" t="str">
        <f>$B$6&amp;Commodities!D30</f>
        <v>IMPHFO</v>
      </c>
      <c r="E10" s="21" t="str">
        <f>"Import technology - "&amp;Commodities!E30</f>
        <v>Import technology - Heavy Fuel Oil</v>
      </c>
      <c r="F10" s="23" t="s">
        <v>62</v>
      </c>
      <c r="G10" s="21"/>
      <c r="H10" s="18"/>
      <c r="I10" s="18"/>
      <c r="J10" s="18"/>
    </row>
    <row r="11" spans="1:11">
      <c r="B11" s="18"/>
      <c r="C11" s="18"/>
      <c r="D11" s="21" t="str">
        <f>$B$6&amp;Commodities!D29</f>
        <v>IMPDSL</v>
      </c>
      <c r="E11" s="21" t="str">
        <f>"Import technology - "&amp;Commodities!E29</f>
        <v>Import technology - Diesel</v>
      </c>
      <c r="F11" s="23" t="s">
        <v>62</v>
      </c>
      <c r="G11" s="21"/>
      <c r="H11" s="18"/>
      <c r="I11" s="18"/>
      <c r="J11" s="18"/>
    </row>
    <row r="12" spans="1:11">
      <c r="B12" s="18"/>
      <c r="C12" s="18"/>
      <c r="D12" s="21" t="str">
        <f>$B$6&amp;Commodities!D14</f>
        <v>IMPBGA</v>
      </c>
      <c r="E12" s="21" t="str">
        <f>"Import technology - "&amp;Commodities!E14</f>
        <v>Import technology - Biogas</v>
      </c>
      <c r="F12" s="23" t="s">
        <v>62</v>
      </c>
      <c r="G12" s="21"/>
      <c r="H12" s="18"/>
      <c r="I12" s="18"/>
      <c r="J12" s="18"/>
    </row>
    <row r="13" spans="1:11">
      <c r="B13" s="18"/>
      <c r="C13" s="18"/>
      <c r="D13" s="21" t="str">
        <f>$B$6&amp;Commodities!D15</f>
        <v>IMPWIN</v>
      </c>
      <c r="E13" s="21" t="str">
        <f>"Import technology - "&amp;Commodities!E15</f>
        <v>Import technology - Wind</v>
      </c>
      <c r="F13" s="23" t="s">
        <v>62</v>
      </c>
      <c r="G13" s="21"/>
      <c r="H13" s="18"/>
      <c r="I13" s="18"/>
      <c r="J13" s="18"/>
    </row>
    <row r="14" spans="1:11">
      <c r="B14" s="18"/>
      <c r="C14" s="18"/>
      <c r="D14" s="21" t="str">
        <f>$B$6&amp;Commodities!D16</f>
        <v>IMPHYD</v>
      </c>
      <c r="E14" s="21" t="str">
        <f>"Import technology - "&amp;Commodities!E16</f>
        <v>Import technology - Hydro</v>
      </c>
      <c r="F14" s="23" t="s">
        <v>62</v>
      </c>
      <c r="G14" s="21"/>
      <c r="H14" s="18"/>
      <c r="I14" s="18"/>
      <c r="J14" s="18"/>
    </row>
    <row r="15" spans="1:11">
      <c r="B15" s="18"/>
      <c r="C15" s="18"/>
      <c r="D15" s="21" t="str">
        <f>$B$6&amp;Commodities!D17</f>
        <v>IMPSOL</v>
      </c>
      <c r="E15" s="21" t="str">
        <f>"Import technology - "&amp;Commodities!E17</f>
        <v>Import technology - Solar</v>
      </c>
      <c r="F15" s="23" t="s">
        <v>62</v>
      </c>
      <c r="G15" s="21"/>
      <c r="H15" s="18"/>
      <c r="I15" s="18"/>
      <c r="J15" s="18"/>
    </row>
    <row r="16" spans="1:11">
      <c r="B16" s="18"/>
      <c r="C16" s="18"/>
      <c r="D16" s="21" t="str">
        <f>$B$6&amp;Commodities!D18</f>
        <v>IMPGEO</v>
      </c>
      <c r="E16" s="21" t="str">
        <f>"Import technology - "&amp;Commodities!E18</f>
        <v>Import technology - Geothermal</v>
      </c>
      <c r="F16" s="23" t="s">
        <v>62</v>
      </c>
      <c r="G16" s="21"/>
      <c r="H16" s="18"/>
      <c r="I16" s="18"/>
      <c r="J16" s="18"/>
    </row>
    <row r="17" spans="1:10" s="490" customFormat="1">
      <c r="B17" s="18"/>
      <c r="C17" s="18"/>
      <c r="D17" s="457" t="s">
        <v>767</v>
      </c>
      <c r="E17" s="21" t="s">
        <v>768</v>
      </c>
      <c r="F17" s="23" t="s">
        <v>62</v>
      </c>
      <c r="G17" s="21"/>
      <c r="H17" s="18"/>
      <c r="I17" s="18"/>
      <c r="J17" s="18"/>
    </row>
    <row r="18" spans="1:10">
      <c r="B18" s="18"/>
      <c r="C18" s="18"/>
      <c r="D18" s="21" t="str">
        <f>$B$6&amp;Commodities!D20</f>
        <v>IMPWPE</v>
      </c>
      <c r="E18" s="21" t="str">
        <f>"Import technology - "&amp;Commodities!E20</f>
        <v>Import technology - Wood pellets</v>
      </c>
      <c r="F18" s="23" t="s">
        <v>62</v>
      </c>
      <c r="G18" s="21"/>
      <c r="H18" s="18"/>
      <c r="I18" s="18"/>
      <c r="J18" s="18"/>
    </row>
    <row r="19" spans="1:10" s="576" customFormat="1">
      <c r="B19" s="571"/>
      <c r="C19" s="571"/>
      <c r="D19" s="21" t="str">
        <f>$B$6&amp;Commodities!D20&amp;"S"</f>
        <v>IMPWPES</v>
      </c>
      <c r="E19" s="21" t="str">
        <f>"Import technology - Sustainable "&amp;Commodities!E20</f>
        <v>Import technology - Sustainable Wood pellets</v>
      </c>
      <c r="F19" s="23" t="s">
        <v>62</v>
      </c>
      <c r="G19" s="21"/>
      <c r="H19" s="571"/>
      <c r="I19" s="571"/>
      <c r="J19" s="571"/>
    </row>
    <row r="20" spans="1:10">
      <c r="B20" s="572"/>
      <c r="C20" s="572"/>
      <c r="D20" s="21" t="str">
        <f>$B$6&amp;Commodities!D21</f>
        <v>IMPWCH</v>
      </c>
      <c r="E20" s="21" t="str">
        <f>"Import technology - "&amp;Commodities!E21</f>
        <v>Import technology - Wood chips and wood waste</v>
      </c>
      <c r="F20" s="23" t="s">
        <v>62</v>
      </c>
      <c r="G20" s="21"/>
      <c r="H20" s="572"/>
      <c r="I20" s="572"/>
      <c r="J20" s="572"/>
    </row>
    <row r="21" spans="1:10" s="576" customFormat="1">
      <c r="B21" s="572"/>
      <c r="C21" s="572"/>
      <c r="D21" s="21" t="str">
        <f>$B$6&amp;Commodities!D21&amp;"S"</f>
        <v>IMPWCHS</v>
      </c>
      <c r="E21" s="21" t="str">
        <f>"Import technology - Sustainable "&amp;Commodities!E21</f>
        <v>Import technology - Sustainable Wood chips and wood waste</v>
      </c>
      <c r="F21" s="23" t="s">
        <v>62</v>
      </c>
      <c r="G21" s="21"/>
      <c r="H21" s="572"/>
      <c r="I21" s="572"/>
      <c r="J21" s="572"/>
    </row>
    <row r="22" spans="1:10" s="576" customFormat="1">
      <c r="B22" s="626"/>
      <c r="C22" s="626"/>
      <c r="D22" s="627" t="str">
        <f>$B$6&amp;Commodities!D22</f>
        <v>IMPFIW</v>
      </c>
      <c r="E22" s="627" t="str">
        <f>"Import technology - "&amp;Commodities!E22</f>
        <v>Import technology - Firewood</v>
      </c>
      <c r="F22" s="628" t="s">
        <v>62</v>
      </c>
      <c r="G22" s="627"/>
      <c r="H22" s="626"/>
      <c r="I22" s="626"/>
      <c r="J22" s="626"/>
    </row>
    <row r="23" spans="1:10">
      <c r="B23" s="18"/>
      <c r="C23" s="18"/>
      <c r="D23" s="21" t="str">
        <f>$B$6&amp;Commodities!D23</f>
        <v>IMPCRD</v>
      </c>
      <c r="E23" s="21" t="str">
        <f>"Import technology - "&amp;Commodities!E23</f>
        <v>Import technology - Crude Oil</v>
      </c>
      <c r="F23" s="23" t="s">
        <v>62</v>
      </c>
      <c r="G23" s="21"/>
      <c r="H23" s="18"/>
      <c r="I23" s="18"/>
      <c r="J23" s="18"/>
    </row>
    <row r="24" spans="1:10" s="1" customFormat="1">
      <c r="B24" s="22"/>
      <c r="C24" s="22"/>
      <c r="D24" s="21" t="str">
        <f>$B$6&amp;Commodities!D26</f>
        <v>IMPLVN</v>
      </c>
      <c r="E24" s="21" t="str">
        <f>"Import technology - "&amp;Commodities!E26</f>
        <v>Import technology - Naphtha (Petroleoum)</v>
      </c>
      <c r="F24" s="23" t="s">
        <v>62</v>
      </c>
      <c r="G24" s="21"/>
      <c r="H24" s="22"/>
      <c r="I24" s="22"/>
      <c r="J24" s="22"/>
    </row>
    <row r="25" spans="1:10" s="1" customFormat="1">
      <c r="B25" s="22"/>
      <c r="C25" s="22"/>
      <c r="D25" s="21" t="str">
        <f>$B$6&amp;Commodities!D25</f>
        <v>IMPLPG</v>
      </c>
      <c r="E25" s="21" t="str">
        <f>"Import technology - "&amp;Commodities!E25</f>
        <v>Import technology - Liquid petrol gas</v>
      </c>
      <c r="F25" s="23" t="s">
        <v>62</v>
      </c>
      <c r="G25" s="21"/>
      <c r="H25" s="22"/>
      <c r="I25" s="22"/>
      <c r="J25" s="22"/>
    </row>
    <row r="26" spans="1:10" s="1" customFormat="1">
      <c r="A26" s="3"/>
      <c r="B26" s="23"/>
      <c r="C26" s="22"/>
      <c r="D26" s="21" t="str">
        <f>$B$6&amp;Commodities!D27</f>
        <v>IMPGSL</v>
      </c>
      <c r="E26" s="21" t="str">
        <f>"Import technology - "&amp;Commodities!E27</f>
        <v>Import technology - Gasoline</v>
      </c>
      <c r="F26" s="23" t="s">
        <v>62</v>
      </c>
      <c r="G26" s="21"/>
      <c r="H26" s="22"/>
      <c r="I26" s="22"/>
      <c r="J26" s="22"/>
    </row>
    <row r="27" spans="1:10" s="1" customFormat="1">
      <c r="A27" s="3"/>
      <c r="B27" s="23"/>
      <c r="C27" s="22"/>
      <c r="D27" s="21" t="str">
        <f>$B$6&amp;Commodities!D28</f>
        <v>IMPKER</v>
      </c>
      <c r="E27" s="21" t="str">
        <f>"Import technology - "&amp;Commodities!E28</f>
        <v>Import technology - Kerosene</v>
      </c>
      <c r="F27" s="23" t="s">
        <v>62</v>
      </c>
      <c r="G27" s="21"/>
      <c r="H27" s="22"/>
      <c r="I27" s="22"/>
      <c r="J27" s="22"/>
    </row>
    <row r="28" spans="1:10" s="1" customFormat="1">
      <c r="A28" s="3"/>
      <c r="B28" s="23"/>
      <c r="C28" s="22"/>
      <c r="D28" s="457" t="str">
        <f>$B$6&amp;Commodities!D32</f>
        <v>IMPKRB1</v>
      </c>
      <c r="E28" s="457" t="str">
        <f>"Import technology - "&amp;Commodities!E32</f>
        <v>Import technology - Bio Kerosene G1</v>
      </c>
      <c r="F28" s="23" t="s">
        <v>62</v>
      </c>
      <c r="G28" s="21"/>
      <c r="H28" s="22"/>
      <c r="I28" s="22"/>
      <c r="J28" s="22"/>
    </row>
    <row r="29" spans="1:10" s="1" customFormat="1">
      <c r="A29" s="3"/>
      <c r="B29" s="23"/>
      <c r="C29" s="22"/>
      <c r="D29" s="457" t="str">
        <f>$B$6&amp;Commodities!D33</f>
        <v>IMPKRB2</v>
      </c>
      <c r="E29" s="457" t="str">
        <f>"Import technology - "&amp;Commodities!E33</f>
        <v>Import technology - Bio Kerosene G2</v>
      </c>
      <c r="F29" s="23" t="s">
        <v>62</v>
      </c>
      <c r="G29" s="21"/>
      <c r="H29" s="22"/>
      <c r="I29" s="22"/>
      <c r="J29" s="22"/>
    </row>
    <row r="30" spans="1:10" s="1" customFormat="1">
      <c r="A30" s="3"/>
      <c r="B30" s="23"/>
      <c r="C30" s="22"/>
      <c r="D30" s="457" t="str">
        <f>$B$6&amp;Commodities!D35</f>
        <v>IMPSNG1</v>
      </c>
      <c r="E30" s="457" t="str">
        <f>"Import technology - "&amp;Commodities!E35</f>
        <v>Import technology - Bio Synt. Nat. Gas G1</v>
      </c>
      <c r="F30" s="23" t="s">
        <v>62</v>
      </c>
      <c r="G30" s="21"/>
      <c r="H30" s="22"/>
      <c r="I30" s="22"/>
      <c r="J30" s="22"/>
    </row>
    <row r="31" spans="1:10" s="1" customFormat="1">
      <c r="A31" s="3"/>
      <c r="B31" s="23"/>
      <c r="C31" s="22"/>
      <c r="D31" s="457" t="str">
        <f>$B$6&amp;Commodities!D36</f>
        <v>IMPSNG2</v>
      </c>
      <c r="E31" s="457" t="str">
        <f>"Import technology - "&amp;Commodities!E36</f>
        <v>Import technology - Bio Synt. Nat. Gas G2</v>
      </c>
      <c r="F31" s="23" t="s">
        <v>62</v>
      </c>
      <c r="G31" s="21"/>
      <c r="H31" s="22"/>
      <c r="I31" s="22"/>
      <c r="J31" s="22"/>
    </row>
    <row r="32" spans="1:10" s="1" customFormat="1">
      <c r="A32" s="3"/>
      <c r="B32" s="23"/>
      <c r="C32" s="22"/>
      <c r="D32" s="457" t="str">
        <f>$B$6&amp;Commodities!D38</f>
        <v>IMPDSB1</v>
      </c>
      <c r="E32" s="457" t="str">
        <f>"Import technology - "&amp;Commodities!E38</f>
        <v>Import technology - Biodiesel G1</v>
      </c>
      <c r="F32" s="23" t="s">
        <v>62</v>
      </c>
      <c r="G32" s="21"/>
      <c r="H32" s="22"/>
      <c r="I32" s="22"/>
      <c r="J32" s="22"/>
    </row>
    <row r="33" spans="1:10" s="1" customFormat="1">
      <c r="A33" s="3"/>
      <c r="B33" s="23"/>
      <c r="C33" s="22"/>
      <c r="D33" s="457" t="str">
        <f>$B$6&amp;Commodities!D39</f>
        <v>IMPDSB2</v>
      </c>
      <c r="E33" s="457" t="str">
        <f>"Import technology - "&amp;Commodities!E39</f>
        <v>Import technology - Biodiesel G2</v>
      </c>
      <c r="F33" s="23" t="s">
        <v>62</v>
      </c>
      <c r="G33" s="21"/>
      <c r="H33" s="22"/>
      <c r="I33" s="22"/>
      <c r="J33" s="22"/>
    </row>
    <row r="34" spans="1:10" s="1" customFormat="1">
      <c r="A34" s="3"/>
      <c r="B34" s="23"/>
      <c r="C34" s="22"/>
      <c r="D34" s="457" t="str">
        <f>$B$6&amp;Commodities!D41</f>
        <v>IMPGSB1</v>
      </c>
      <c r="E34" s="457" t="str">
        <f>"Import technology - "&amp;Commodities!E41</f>
        <v>Import technology - Bioethanol G1</v>
      </c>
      <c r="F34" s="23" t="s">
        <v>62</v>
      </c>
      <c r="G34" s="21"/>
      <c r="H34" s="22"/>
      <c r="I34" s="22"/>
      <c r="J34" s="22"/>
    </row>
    <row r="35" spans="1:10">
      <c r="B35" s="22"/>
      <c r="C35" s="22"/>
      <c r="D35" s="457" t="str">
        <f>$B$6&amp;Commodities!D42</f>
        <v>IMPGSB2</v>
      </c>
      <c r="E35" s="457" t="str">
        <f>"Import technology - "&amp;Commodities!E42</f>
        <v>Import technology - Bioethanol G2</v>
      </c>
      <c r="F35" s="23" t="s">
        <v>62</v>
      </c>
      <c r="G35" s="21"/>
      <c r="H35" s="22"/>
      <c r="I35" s="22"/>
      <c r="J35" s="22"/>
    </row>
    <row r="36" spans="1:10" s="576" customFormat="1">
      <c r="B36" s="572"/>
      <c r="C36" s="572"/>
      <c r="D36" s="457" t="str">
        <f>$B$6&amp;Commodities!D57</f>
        <v>IMPMGO</v>
      </c>
      <c r="E36" s="457" t="str">
        <f>"Import technology - "&amp;Commodities!E57</f>
        <v>Import technology - Marine Gas Oil</v>
      </c>
      <c r="F36" s="23" t="s">
        <v>62</v>
      </c>
      <c r="G36" s="21"/>
      <c r="H36" s="572"/>
      <c r="I36" s="572"/>
      <c r="J36" s="572"/>
    </row>
    <row r="37" spans="1:10">
      <c r="B37" s="253" t="s">
        <v>180</v>
      </c>
      <c r="C37" s="254"/>
      <c r="D37" s="255" t="str">
        <f>$B$37&amp;Commodities!D23</f>
        <v>MINCRD</v>
      </c>
      <c r="E37" s="255" t="str">
        <f>"Mining technology - "&amp;Commodities!E23</f>
        <v>Mining technology - Crude Oil</v>
      </c>
      <c r="F37" s="256" t="s">
        <v>62</v>
      </c>
      <c r="G37" s="255"/>
      <c r="H37" s="254"/>
      <c r="I37" s="254"/>
      <c r="J37" s="254"/>
    </row>
    <row r="38" spans="1:10" s="1" customFormat="1">
      <c r="B38" s="246"/>
      <c r="C38" s="572"/>
      <c r="D38" s="21" t="s">
        <v>379</v>
      </c>
      <c r="E38" s="21" t="s">
        <v>380</v>
      </c>
      <c r="F38" s="23" t="s">
        <v>62</v>
      </c>
      <c r="G38" s="21"/>
      <c r="H38" s="572"/>
      <c r="I38" s="572"/>
      <c r="J38" s="572"/>
    </row>
    <row r="39" spans="1:10" s="1" customFormat="1">
      <c r="B39" s="246"/>
      <c r="C39" s="572"/>
      <c r="D39" s="21" t="str">
        <f>$B$37&amp;Commodities!D10</f>
        <v>MINWST</v>
      </c>
      <c r="E39" s="21" t="str">
        <f>"Mining technology - "&amp;Commodities!E10</f>
        <v>Mining technology - Waste</v>
      </c>
      <c r="F39" s="23" t="s">
        <v>62</v>
      </c>
      <c r="G39" s="21"/>
      <c r="H39" s="572"/>
      <c r="I39" s="572"/>
      <c r="J39" s="572"/>
    </row>
    <row r="40" spans="1:10" s="1" customFormat="1">
      <c r="B40" s="246"/>
      <c r="C40" s="572"/>
      <c r="D40" s="21" t="str">
        <f>$B$37&amp;Commodities!D11</f>
        <v>MINSTR</v>
      </c>
      <c r="E40" s="21" t="str">
        <f>"Mining technology - "&amp;Commodities!E11</f>
        <v>Mining technology - Straw</v>
      </c>
      <c r="F40" s="23" t="s">
        <v>62</v>
      </c>
      <c r="G40" s="21"/>
      <c r="H40" s="572"/>
      <c r="I40" s="572"/>
      <c r="J40" s="572"/>
    </row>
    <row r="41" spans="1:10" s="1" customFormat="1">
      <c r="B41" s="246"/>
      <c r="C41" s="572"/>
      <c r="D41" s="21" t="str">
        <f>$B$37&amp;Commodities!D12</f>
        <v>MINDLI</v>
      </c>
      <c r="E41" s="21" t="str">
        <f>"Mining technology - "&amp;Commodities!E12</f>
        <v>Mining technology - Deep Litter</v>
      </c>
      <c r="F41" s="23" t="s">
        <v>62</v>
      </c>
      <c r="G41" s="21"/>
      <c r="H41" s="572"/>
      <c r="I41" s="572"/>
      <c r="J41" s="572"/>
    </row>
    <row r="42" spans="1:10" s="1" customFormat="1">
      <c r="B42" s="246"/>
      <c r="C42" s="572"/>
      <c r="D42" s="21" t="str">
        <f>$B$37&amp;Commodities!D13</f>
        <v>MINGRS</v>
      </c>
      <c r="E42" s="21" t="str">
        <f>"Mining technology - "&amp;Commodities!E13</f>
        <v>Mining technology - Grass</v>
      </c>
      <c r="F42" s="23" t="s">
        <v>62</v>
      </c>
      <c r="G42" s="21"/>
      <c r="H42" s="572"/>
      <c r="I42" s="572"/>
      <c r="J42" s="572"/>
    </row>
    <row r="43" spans="1:10" s="576" customFormat="1">
      <c r="B43" s="246"/>
      <c r="C43" s="572"/>
      <c r="D43" s="21" t="str">
        <f>$B$37&amp;Commodities!D20</f>
        <v>MINWPE</v>
      </c>
      <c r="E43" s="21" t="str">
        <f>"Mining technology - "&amp;Commodities!E20</f>
        <v>Mining technology - Wood pellets</v>
      </c>
      <c r="F43" s="23" t="s">
        <v>62</v>
      </c>
      <c r="G43" s="21"/>
      <c r="H43" s="572"/>
      <c r="I43" s="572"/>
      <c r="J43" s="572"/>
    </row>
    <row r="44" spans="1:10" s="576" customFormat="1">
      <c r="B44" s="246"/>
      <c r="C44" s="572"/>
      <c r="D44" s="21" t="str">
        <f>$B$37&amp;Commodities!D21</f>
        <v>MINWCH</v>
      </c>
      <c r="E44" s="21" t="str">
        <f>"Mining technology - "&amp;Commodities!E21</f>
        <v>Mining technology - Wood chips and wood waste</v>
      </c>
      <c r="F44" s="23" t="s">
        <v>62</v>
      </c>
      <c r="G44" s="21"/>
      <c r="H44" s="572"/>
      <c r="I44" s="572"/>
      <c r="J44" s="572"/>
    </row>
    <row r="45" spans="1:10" s="576" customFormat="1">
      <c r="B45" s="246"/>
      <c r="C45" s="572"/>
      <c r="D45" s="21" t="str">
        <f>$B$37&amp;Commodities!D22</f>
        <v>MINFIW</v>
      </c>
      <c r="E45" s="21" t="str">
        <f>"Mining technology - "&amp;Commodities!E22</f>
        <v>Mining technology - Firewood</v>
      </c>
      <c r="F45" s="23" t="s">
        <v>62</v>
      </c>
      <c r="G45" s="21"/>
      <c r="H45" s="572"/>
      <c r="I45" s="572"/>
      <c r="J45" s="572"/>
    </row>
    <row r="46" spans="1:10" s="576" customFormat="1">
      <c r="B46" s="246"/>
      <c r="C46" s="572"/>
      <c r="D46" s="21" t="str">
        <f>$B$37&amp;Commodities!D46</f>
        <v>MINCRN</v>
      </c>
      <c r="E46" s="21" t="str">
        <f>"Mining technology - "&amp;Commodities!E46</f>
        <v>Mining technology - Corn</v>
      </c>
      <c r="F46" s="23" t="s">
        <v>62</v>
      </c>
      <c r="G46" s="21"/>
      <c r="H46" s="572"/>
      <c r="I46" s="572"/>
      <c r="J46" s="572"/>
    </row>
    <row r="47" spans="1:10" s="576" customFormat="1">
      <c r="B47" s="246"/>
      <c r="C47" s="572"/>
      <c r="D47" s="21" t="str">
        <f>$B$37&amp;Commodities!D47</f>
        <v>MINRPS</v>
      </c>
      <c r="E47" s="21" t="str">
        <f>"Mining technology - "&amp;Commodities!E47</f>
        <v>Mining technology - Rapeseed</v>
      </c>
      <c r="F47" s="23" t="s">
        <v>62</v>
      </c>
      <c r="G47" s="21"/>
      <c r="H47" s="572"/>
      <c r="I47" s="572"/>
      <c r="J47" s="572"/>
    </row>
    <row r="48" spans="1:10" s="1" customFormat="1">
      <c r="B48" s="636"/>
      <c r="C48" s="626"/>
      <c r="D48" s="637" t="str">
        <f>$B$37&amp;Commodities!D48</f>
        <v>MINSGB</v>
      </c>
      <c r="E48" s="637" t="str">
        <f>"Mining technology - "&amp;Commodities!E48</f>
        <v>Mining technology - Sugar Beet</v>
      </c>
      <c r="F48" s="628" t="s">
        <v>62</v>
      </c>
      <c r="G48" s="637"/>
      <c r="H48" s="626"/>
      <c r="I48" s="626"/>
      <c r="J48" s="626"/>
    </row>
    <row r="49" spans="2:10" s="1" customFormat="1">
      <c r="B49" s="246" t="s">
        <v>367</v>
      </c>
      <c r="C49" s="572"/>
      <c r="D49" s="21" t="str">
        <f>$B$49&amp;Commodities!D7</f>
        <v>EXPNGA</v>
      </c>
      <c r="E49" s="21" t="str">
        <f>"Export technology - "&amp;Commodities!E7</f>
        <v>Export technology - Natural Gas</v>
      </c>
      <c r="F49" s="23" t="s">
        <v>62</v>
      </c>
      <c r="G49" s="21"/>
      <c r="H49" s="572"/>
      <c r="I49" s="572"/>
      <c r="J49" s="572"/>
    </row>
    <row r="50" spans="2:10">
      <c r="B50" s="246"/>
      <c r="C50" s="22"/>
      <c r="D50" s="21" t="str">
        <f>$B$49&amp;Commodities!D14</f>
        <v>EXPBGA</v>
      </c>
      <c r="E50" s="21" t="str">
        <f>"Export technology - "&amp;Commodities!E14</f>
        <v>Export technology - Biogas</v>
      </c>
      <c r="F50" s="23" t="s">
        <v>62</v>
      </c>
      <c r="G50" s="21"/>
      <c r="H50" s="22"/>
      <c r="I50" s="22"/>
      <c r="J50" s="22"/>
    </row>
    <row r="51" spans="2:10">
      <c r="B51" s="246"/>
      <c r="C51" s="22"/>
      <c r="D51" s="21" t="str">
        <f>$B$49&amp;Commodities!D23</f>
        <v>EXPCRD</v>
      </c>
      <c r="E51" s="21" t="str">
        <f>"Export technology - "&amp;Commodities!E23</f>
        <v>Export technology - Crude Oil</v>
      </c>
      <c r="F51" s="23" t="s">
        <v>62</v>
      </c>
      <c r="G51" s="21"/>
      <c r="H51" s="22"/>
      <c r="I51" s="22"/>
      <c r="J51" s="22"/>
    </row>
    <row r="52" spans="2:10">
      <c r="B52" s="246"/>
      <c r="C52" s="22"/>
      <c r="D52" s="21" t="str">
        <f>$B$49&amp;Commodities!D25</f>
        <v>EXPLPG</v>
      </c>
      <c r="E52" s="21" t="str">
        <f>"Export technology - "&amp;Commodities!E25</f>
        <v>Export technology - Liquid petrol gas</v>
      </c>
      <c r="F52" s="23" t="s">
        <v>62</v>
      </c>
      <c r="G52" s="21"/>
      <c r="H52" s="22"/>
      <c r="I52" s="22"/>
      <c r="J52" s="22"/>
    </row>
    <row r="53" spans="2:10">
      <c r="B53" s="246"/>
      <c r="C53" s="22"/>
      <c r="D53" s="21" t="str">
        <f>$B$49&amp;Commodities!D26</f>
        <v>EXPLVN</v>
      </c>
      <c r="E53" s="21" t="str">
        <f>"Export technology - "&amp;Commodities!E26</f>
        <v>Export technology - Naphtha (Petroleoum)</v>
      </c>
      <c r="F53" s="23" t="s">
        <v>62</v>
      </c>
      <c r="G53" s="21"/>
      <c r="H53" s="22"/>
      <c r="I53" s="22"/>
      <c r="J53" s="22"/>
    </row>
    <row r="54" spans="2:10">
      <c r="B54" s="246"/>
      <c r="C54" s="22"/>
      <c r="D54" s="21" t="str">
        <f>$B$49&amp;Commodities!D27</f>
        <v>EXPGSL</v>
      </c>
      <c r="E54" s="21" t="str">
        <f>"Export technology - "&amp;Commodities!E27</f>
        <v>Export technology - Gasoline</v>
      </c>
      <c r="F54" s="23" t="s">
        <v>62</v>
      </c>
      <c r="G54" s="21"/>
      <c r="H54" s="22"/>
      <c r="I54" s="22"/>
      <c r="J54" s="22"/>
    </row>
    <row r="55" spans="2:10">
      <c r="B55" s="246"/>
      <c r="C55" s="22"/>
      <c r="D55" s="21" t="str">
        <f>$B$49&amp;Commodities!D28</f>
        <v>EXPKER</v>
      </c>
      <c r="E55" s="21" t="str">
        <f>"Export technology - "&amp;Commodities!E28</f>
        <v>Export technology - Kerosene</v>
      </c>
      <c r="F55" s="23" t="s">
        <v>62</v>
      </c>
      <c r="G55" s="21"/>
      <c r="H55" s="22"/>
      <c r="I55" s="22"/>
      <c r="J55" s="22"/>
    </row>
    <row r="56" spans="2:10">
      <c r="B56" s="246"/>
      <c r="C56" s="22"/>
      <c r="D56" s="21" t="str">
        <f>$B$49&amp;Commodities!D29</f>
        <v>EXPDSL</v>
      </c>
      <c r="E56" s="21" t="str">
        <f>"Export technology - "&amp;Commodities!E29</f>
        <v>Export technology - Diesel</v>
      </c>
      <c r="F56" s="23" t="s">
        <v>62</v>
      </c>
      <c r="G56" s="21"/>
      <c r="H56" s="22"/>
      <c r="I56" s="22"/>
      <c r="J56" s="22"/>
    </row>
    <row r="57" spans="2:10">
      <c r="B57" s="246"/>
      <c r="C57" s="22"/>
      <c r="D57" s="21" t="str">
        <f>$B$49&amp;Commodities!D30</f>
        <v>EXPHFO</v>
      </c>
      <c r="E57" s="21" t="str">
        <f>"Export technology - "&amp;Commodities!E30</f>
        <v>Export technology - Heavy Fuel Oil</v>
      </c>
      <c r="F57" s="23" t="s">
        <v>62</v>
      </c>
      <c r="G57" s="21"/>
      <c r="H57" s="22"/>
      <c r="I57" s="22"/>
      <c r="J57" s="22"/>
    </row>
    <row r="58" spans="2:10">
      <c r="B58" s="246"/>
      <c r="C58" s="22"/>
      <c r="D58" s="457" t="str">
        <f>$B$49&amp;Commodities!D32</f>
        <v>EXPKRB1</v>
      </c>
      <c r="E58" s="457" t="str">
        <f>"Export technology - "&amp;Commodities!E32</f>
        <v>Export technology - Bio Kerosene G1</v>
      </c>
      <c r="F58" s="23" t="s">
        <v>62</v>
      </c>
      <c r="G58" s="21"/>
      <c r="H58" s="22"/>
      <c r="I58" s="22"/>
      <c r="J58" s="22"/>
    </row>
    <row r="59" spans="2:10">
      <c r="B59" s="246"/>
      <c r="C59" s="22"/>
      <c r="D59" s="457" t="str">
        <f>$B$49&amp;Commodities!D33</f>
        <v>EXPKRB2</v>
      </c>
      <c r="E59" s="457" t="str">
        <f>"Export technology - "&amp;Commodities!E33</f>
        <v>Export technology - Bio Kerosene G2</v>
      </c>
      <c r="F59" s="23" t="s">
        <v>62</v>
      </c>
      <c r="G59" s="21"/>
      <c r="H59" s="22"/>
      <c r="I59" s="22"/>
      <c r="J59" s="22"/>
    </row>
    <row r="60" spans="2:10" s="576" customFormat="1">
      <c r="B60" s="246"/>
      <c r="C60" s="572"/>
      <c r="D60" s="457" t="str">
        <f>$B$49&amp;Commodities!D34</f>
        <v>EXPKRE</v>
      </c>
      <c r="E60" s="457" t="str">
        <f>"Export technology - "&amp;Commodities!E34</f>
        <v>Export technology - Electro Kerosene</v>
      </c>
      <c r="F60" s="23" t="s">
        <v>62</v>
      </c>
      <c r="G60" s="21"/>
      <c r="H60" s="572"/>
      <c r="I60" s="572"/>
      <c r="J60" s="572"/>
    </row>
    <row r="61" spans="2:10">
      <c r="B61" s="246"/>
      <c r="C61" s="22"/>
      <c r="D61" s="457" t="str">
        <f>$B$49&amp;Commodities!D35</f>
        <v>EXPSNG1</v>
      </c>
      <c r="E61" s="457" t="str">
        <f>"Export technology - "&amp;Commodities!E35</f>
        <v>Export technology - Bio Synt. Nat. Gas G1</v>
      </c>
      <c r="F61" s="23" t="s">
        <v>62</v>
      </c>
      <c r="G61" s="21"/>
      <c r="H61" s="22"/>
      <c r="I61" s="22"/>
      <c r="J61" s="22"/>
    </row>
    <row r="62" spans="2:10">
      <c r="B62" s="246"/>
      <c r="C62" s="22"/>
      <c r="D62" s="457" t="str">
        <f>$B$49&amp;Commodities!D36</f>
        <v>EXPSNG2</v>
      </c>
      <c r="E62" s="457" t="str">
        <f>"Export technology - "&amp;Commodities!E36</f>
        <v>Export technology - Bio Synt. Nat. Gas G2</v>
      </c>
      <c r="F62" s="23" t="s">
        <v>62</v>
      </c>
      <c r="G62" s="21"/>
      <c r="H62" s="22"/>
      <c r="I62" s="22"/>
      <c r="J62" s="22"/>
    </row>
    <row r="63" spans="2:10" s="576" customFormat="1">
      <c r="B63" s="246"/>
      <c r="C63" s="572"/>
      <c r="D63" s="457" t="str">
        <f>$B$49&amp;Commodities!D37</f>
        <v>EXPSNE</v>
      </c>
      <c r="E63" s="457" t="str">
        <f>"Export technology - "&amp;Commodities!E37</f>
        <v>Export technology - Electro Synt. Nat. Gas</v>
      </c>
      <c r="F63" s="23" t="s">
        <v>62</v>
      </c>
      <c r="G63" s="21"/>
      <c r="H63" s="572"/>
      <c r="I63" s="572"/>
      <c r="J63" s="572"/>
    </row>
    <row r="64" spans="2:10">
      <c r="B64" s="246"/>
      <c r="C64" s="22"/>
      <c r="D64" s="457" t="str">
        <f>$B$49&amp;Commodities!D38</f>
        <v>EXPDSB1</v>
      </c>
      <c r="E64" s="457" t="str">
        <f>"Export technology - "&amp;Commodities!E38</f>
        <v>Export technology - Biodiesel G1</v>
      </c>
      <c r="F64" s="23" t="s">
        <v>62</v>
      </c>
      <c r="G64" s="21"/>
      <c r="H64" s="22"/>
      <c r="I64" s="22"/>
      <c r="J64" s="22"/>
    </row>
    <row r="65" spans="2:10">
      <c r="B65" s="246"/>
      <c r="C65" s="22"/>
      <c r="D65" s="457" t="str">
        <f>$B$49&amp;Commodities!D39</f>
        <v>EXPDSB2</v>
      </c>
      <c r="E65" s="457" t="str">
        <f>"Export technology - "&amp;Commodities!E39</f>
        <v>Export technology - Biodiesel G2</v>
      </c>
      <c r="F65" s="23" t="s">
        <v>62</v>
      </c>
      <c r="G65" s="21"/>
      <c r="H65" s="22"/>
      <c r="I65" s="22"/>
      <c r="J65" s="22"/>
    </row>
    <row r="66" spans="2:10" s="576" customFormat="1">
      <c r="B66" s="246"/>
      <c r="C66" s="572"/>
      <c r="D66" s="457" t="str">
        <f>$B$49&amp;Commodities!D40</f>
        <v>EXPDSE</v>
      </c>
      <c r="E66" s="457" t="str">
        <f>"Export technology - "&amp;Commodities!E40</f>
        <v>Export technology - Electro Diesel</v>
      </c>
      <c r="F66" s="23" t="s">
        <v>62</v>
      </c>
      <c r="G66" s="21"/>
      <c r="H66" s="572"/>
      <c r="I66" s="572"/>
      <c r="J66" s="572"/>
    </row>
    <row r="67" spans="2:10">
      <c r="B67" s="246"/>
      <c r="C67" s="22"/>
      <c r="D67" s="457" t="str">
        <f>$B$49&amp;Commodities!D41</f>
        <v>EXPGSB1</v>
      </c>
      <c r="E67" s="457" t="str">
        <f>"Export technology - "&amp;Commodities!E41</f>
        <v>Export technology - Bioethanol G1</v>
      </c>
      <c r="F67" s="23" t="s">
        <v>62</v>
      </c>
      <c r="G67" s="21"/>
      <c r="H67" s="22"/>
      <c r="I67" s="22"/>
      <c r="J67" s="22"/>
    </row>
    <row r="68" spans="2:10">
      <c r="B68" s="247"/>
      <c r="C68" s="25"/>
      <c r="D68" s="458" t="str">
        <f>$B$49&amp;Commodities!D42</f>
        <v>EXPGSB2</v>
      </c>
      <c r="E68" s="458" t="str">
        <f>"Export technology - "&amp;Commodities!E42</f>
        <v>Export technology - Bioethanol G2</v>
      </c>
      <c r="F68" s="28" t="s">
        <v>62</v>
      </c>
      <c r="G68" s="26"/>
      <c r="H68" s="25"/>
      <c r="I68" s="25"/>
      <c r="J68" s="25"/>
    </row>
    <row r="69" spans="2:10" s="576" customFormat="1">
      <c r="B69" s="247"/>
      <c r="C69" s="25"/>
      <c r="D69" s="458" t="str">
        <f>$B$49&amp;Commodities!D43</f>
        <v>EXPGSE</v>
      </c>
      <c r="E69" s="458" t="str">
        <f>"Export technology - "&amp;Commodities!E43</f>
        <v>Export technology - Electro Gasoline</v>
      </c>
      <c r="F69" s="28" t="s">
        <v>62</v>
      </c>
      <c r="G69" s="26"/>
      <c r="H69" s="25"/>
      <c r="I69" s="25"/>
      <c r="J69" s="25"/>
    </row>
    <row r="70" spans="2:10" s="576" customFormat="1">
      <c r="B70" s="636"/>
      <c r="C70" s="626"/>
      <c r="D70" s="458" t="str">
        <f>$B$49&amp;Commodities!D44</f>
        <v>EXPCRB</v>
      </c>
      <c r="E70" s="458" t="str">
        <f>"Export technology - "&amp;Commodities!E44</f>
        <v>Export technology - Crude Bio oil</v>
      </c>
      <c r="F70" s="28" t="s">
        <v>62</v>
      </c>
      <c r="G70" s="637"/>
      <c r="H70" s="626"/>
      <c r="I70" s="626"/>
      <c r="J70" s="626"/>
    </row>
    <row r="71" spans="2:10" s="576" customFormat="1">
      <c r="B71" s="636"/>
      <c r="C71" s="626"/>
      <c r="D71" s="458" t="str">
        <f>$B$49&amp;Commodities!D45</f>
        <v>EXPSYN</v>
      </c>
      <c r="E71" s="458" t="str">
        <f>"Export technology - "&amp;Commodities!E45</f>
        <v xml:space="preserve">Export technology - RE Syngas </v>
      </c>
      <c r="F71" s="28" t="s">
        <v>62</v>
      </c>
      <c r="G71" s="637"/>
      <c r="H71" s="626"/>
      <c r="I71" s="626"/>
      <c r="J71" s="626"/>
    </row>
    <row r="72" spans="2:10" s="576" customFormat="1">
      <c r="B72" s="247"/>
      <c r="C72" s="25"/>
      <c r="D72" s="458" t="str">
        <f>$B$49&amp;Commodities!D55</f>
        <v>EXPH2</v>
      </c>
      <c r="E72" s="458" t="str">
        <f>"Export technology - "&amp;Commodities!E55</f>
        <v>Export technology - Hydrogen</v>
      </c>
      <c r="F72" s="28" t="s">
        <v>62</v>
      </c>
      <c r="G72" s="26"/>
      <c r="H72" s="25"/>
      <c r="I72" s="25"/>
      <c r="J72" s="25"/>
    </row>
    <row r="73" spans="2:10" s="576" customFormat="1">
      <c r="B73" s="247"/>
      <c r="C73" s="25"/>
      <c r="D73" s="458" t="str">
        <f>$B$49&amp;Commodities!D67</f>
        <v>EXPAMM</v>
      </c>
      <c r="E73" s="458" t="str">
        <f>"Export technology - "&amp;Commodities!E67</f>
        <v>Export technology - Ammonia (liquid)</v>
      </c>
      <c r="F73" s="28" t="s">
        <v>62</v>
      </c>
      <c r="G73" s="26"/>
      <c r="H73" s="25"/>
      <c r="I73" s="25"/>
      <c r="J73" s="25"/>
    </row>
    <row r="74" spans="2:10">
      <c r="B74" s="59" t="s">
        <v>147</v>
      </c>
      <c r="C74" s="18" t="s">
        <v>1169</v>
      </c>
      <c r="D74" s="59" t="s">
        <v>363</v>
      </c>
      <c r="E74" s="59" t="s">
        <v>364</v>
      </c>
      <c r="F74" s="24" t="s">
        <v>62</v>
      </c>
      <c r="G74" s="21"/>
      <c r="H74" s="18"/>
      <c r="I74" s="18" t="s">
        <v>148</v>
      </c>
      <c r="J74" s="18"/>
    </row>
    <row r="75" spans="2:10">
      <c r="B75" s="18"/>
      <c r="C75" s="18"/>
      <c r="D75" s="59" t="s">
        <v>253</v>
      </c>
      <c r="E75" s="59" t="s">
        <v>254</v>
      </c>
      <c r="F75" s="24" t="s">
        <v>62</v>
      </c>
      <c r="G75" s="21"/>
      <c r="H75" s="18"/>
      <c r="I75" s="18"/>
      <c r="J75" s="18"/>
    </row>
    <row r="76" spans="2:10">
      <c r="B76" s="18"/>
      <c r="C76" s="18"/>
      <c r="D76" s="59" t="s">
        <v>414</v>
      </c>
      <c r="E76" s="59" t="s">
        <v>416</v>
      </c>
      <c r="F76" s="24" t="s">
        <v>62</v>
      </c>
      <c r="G76" s="21"/>
      <c r="H76" s="18" t="s">
        <v>867</v>
      </c>
      <c r="I76" s="18"/>
      <c r="J76" s="18"/>
    </row>
    <row r="77" spans="2:10">
      <c r="B77" s="25"/>
      <c r="C77" s="25"/>
      <c r="D77" s="247" t="s">
        <v>415</v>
      </c>
      <c r="E77" s="247" t="s">
        <v>417</v>
      </c>
      <c r="F77" s="280" t="s">
        <v>62</v>
      </c>
      <c r="G77" s="25"/>
      <c r="H77" s="25" t="s">
        <v>867</v>
      </c>
      <c r="I77" s="25"/>
      <c r="J77" s="25"/>
    </row>
    <row r="78" spans="2:10">
      <c r="B78" s="59" t="s">
        <v>61</v>
      </c>
      <c r="C78" s="18"/>
      <c r="D78" s="255" t="str">
        <f>$B$78&amp;Commodities!D46</f>
        <v>IMPCRN</v>
      </c>
      <c r="E78" s="21" t="str">
        <f>"Import technology - "&amp;Commodities!E46</f>
        <v>Import technology - Corn</v>
      </c>
      <c r="F78" s="24" t="s">
        <v>62</v>
      </c>
      <c r="G78" s="18"/>
      <c r="H78" s="18"/>
      <c r="I78" s="18"/>
      <c r="J78" s="18"/>
    </row>
    <row r="79" spans="2:10">
      <c r="B79" s="18"/>
      <c r="C79" s="18"/>
      <c r="D79" s="21" t="str">
        <f>$B$78&amp;Commodities!D47</f>
        <v>IMPRPS</v>
      </c>
      <c r="E79" s="21" t="str">
        <f>"Import technology - "&amp;Commodities!E47</f>
        <v>Import technology - Rapeseed</v>
      </c>
      <c r="F79" s="24" t="s">
        <v>62</v>
      </c>
      <c r="G79" s="18"/>
      <c r="H79" s="18"/>
      <c r="I79" s="18"/>
      <c r="J79" s="18"/>
    </row>
    <row r="80" spans="2:10">
      <c r="B80" s="18"/>
      <c r="C80" s="18"/>
      <c r="D80" s="21" t="str">
        <f>$B$78&amp;Commodities!D48</f>
        <v>IMPSGB</v>
      </c>
      <c r="E80" s="21" t="str">
        <f>"Import technology - "&amp;Commodities!E48</f>
        <v>Import technology - Sugar Beet</v>
      </c>
      <c r="F80" s="24" t="s">
        <v>62</v>
      </c>
      <c r="G80" s="18"/>
      <c r="H80" s="18"/>
      <c r="I80" s="18"/>
      <c r="J80" s="18"/>
    </row>
    <row r="81" spans="2:10">
      <c r="B81" s="18"/>
      <c r="C81" s="18"/>
      <c r="D81" s="21" t="str">
        <f>$B$78&amp;Commodities!D49</f>
        <v>IMPMOB1</v>
      </c>
      <c r="E81" s="21" t="str">
        <f>"Import technology - "&amp;Commodities!E49</f>
        <v>Import technology - Bio Methanol G1</v>
      </c>
      <c r="F81" s="24" t="s">
        <v>62</v>
      </c>
      <c r="G81" s="18"/>
      <c r="H81" s="18"/>
      <c r="I81" s="18"/>
      <c r="J81" s="18"/>
    </row>
    <row r="82" spans="2:10">
      <c r="B82" s="25"/>
      <c r="C82" s="25"/>
      <c r="D82" s="26" t="str">
        <f>$B$78&amp;Commodities!D50</f>
        <v>IMPMOB2</v>
      </c>
      <c r="E82" s="26" t="str">
        <f>"Import technology - "&amp;Commodities!E50</f>
        <v>Import technology - Bio Methanol G2</v>
      </c>
      <c r="F82" s="280" t="s">
        <v>62</v>
      </c>
      <c r="G82" s="25"/>
      <c r="H82" s="25"/>
      <c r="I82" s="25"/>
      <c r="J82" s="25"/>
    </row>
    <row r="83" spans="2:10">
      <c r="B83" s="59" t="s">
        <v>367</v>
      </c>
      <c r="C83" s="18"/>
      <c r="D83" s="21" t="str">
        <f>$B$83&amp;Commodities!D52</f>
        <v>EXPDDGS</v>
      </c>
      <c r="E83" s="21" t="str">
        <f>"Export technology - "&amp;Commodities!E52</f>
        <v>Export technology - Ethanol</v>
      </c>
      <c r="F83" s="24" t="s">
        <v>62</v>
      </c>
      <c r="G83" s="18"/>
      <c r="H83" s="18"/>
      <c r="I83" s="18"/>
      <c r="J83" s="18"/>
    </row>
    <row r="84" spans="2:10">
      <c r="B84" s="18"/>
      <c r="C84" s="18"/>
      <c r="D84" s="21" t="str">
        <f>$B$83&amp;Commodities!D53</f>
        <v>EXPGLY</v>
      </c>
      <c r="E84" s="21" t="str">
        <f>"Export technology - "&amp;Commodities!E53</f>
        <v>Export technology - Glycerol</v>
      </c>
      <c r="F84" s="24" t="s">
        <v>62</v>
      </c>
      <c r="G84" s="18"/>
      <c r="H84" s="18"/>
      <c r="I84" s="18"/>
      <c r="J84" s="18"/>
    </row>
    <row r="85" spans="2:10">
      <c r="B85" s="18"/>
      <c r="C85" s="18"/>
      <c r="D85" s="21" t="str">
        <f>$B$83&amp;Commodities!D54</f>
        <v>EXPLNB</v>
      </c>
      <c r="E85" s="21" t="str">
        <f>"Export technology - "&amp;Commodities!E54</f>
        <v>Export technology - Bio Naphtha (Petroleoum)</v>
      </c>
      <c r="F85" s="24" t="s">
        <v>62</v>
      </c>
      <c r="G85" s="18"/>
      <c r="H85" s="18"/>
      <c r="I85" s="18"/>
      <c r="J85" s="18"/>
    </row>
    <row r="86" spans="2:10">
      <c r="B86" s="18"/>
      <c r="C86" s="18"/>
      <c r="D86" s="21" t="str">
        <f>$B$83&amp;Commodities!D58</f>
        <v>EXPRPC</v>
      </c>
      <c r="E86" s="21" t="str">
        <f>"Export technology - "&amp;Commodities!E58</f>
        <v>Export technology - Rape Cake</v>
      </c>
      <c r="F86" s="24" t="s">
        <v>62</v>
      </c>
      <c r="G86" s="18"/>
      <c r="H86" s="18"/>
      <c r="I86" s="18"/>
      <c r="J86" s="18"/>
    </row>
    <row r="87" spans="2:10">
      <c r="B87" s="18"/>
      <c r="C87" s="18"/>
      <c r="D87" s="21" t="str">
        <f>$B$83&amp;Commodities!D59</f>
        <v>EXPSGP</v>
      </c>
      <c r="E87" s="21" t="str">
        <f>"Export technology - "&amp;Commodities!E59</f>
        <v>Export technology - Sugar Beet Pulp</v>
      </c>
      <c r="F87" s="24" t="s">
        <v>62</v>
      </c>
      <c r="G87" s="18"/>
      <c r="H87" s="18"/>
      <c r="I87" s="18"/>
      <c r="J87" s="18"/>
    </row>
    <row r="88" spans="2:10">
      <c r="B88" s="262" t="s">
        <v>180</v>
      </c>
      <c r="C88" s="262"/>
      <c r="D88" s="580" t="s">
        <v>832</v>
      </c>
      <c r="E88" s="580" t="s">
        <v>833</v>
      </c>
      <c r="F88" s="580" t="s">
        <v>62</v>
      </c>
      <c r="G88" s="262"/>
      <c r="H88" s="262"/>
      <c r="I88" s="262"/>
      <c r="J88" s="262"/>
    </row>
    <row r="89" spans="2:10">
      <c r="B89" t="s">
        <v>61</v>
      </c>
      <c r="D89" s="9" t="s">
        <v>792</v>
      </c>
      <c r="E89" s="9" t="s">
        <v>793</v>
      </c>
      <c r="F89" s="9" t="s">
        <v>62</v>
      </c>
    </row>
    <row r="90" spans="2:10">
      <c r="B90" s="641"/>
      <c r="C90" s="641"/>
      <c r="D90" s="642" t="s">
        <v>794</v>
      </c>
      <c r="E90" s="642" t="s">
        <v>785</v>
      </c>
      <c r="F90" s="642" t="s">
        <v>62</v>
      </c>
      <c r="G90" s="641"/>
      <c r="H90" s="641"/>
      <c r="I90" s="641"/>
      <c r="J90" s="641"/>
    </row>
    <row r="91" spans="2:10">
      <c r="B91" t="s">
        <v>147</v>
      </c>
      <c r="D91" s="9" t="str">
        <f>"FT-"&amp;Commodities!D83</f>
        <v>FT-SUPCOA</v>
      </c>
      <c r="E91" s="9" t="str">
        <f>"FT technology - "&amp;Commodities!E83</f>
        <v>FT technology - Supply Coal</v>
      </c>
      <c r="F91" s="9" t="str">
        <f>Commodities!F83</f>
        <v>PJ</v>
      </c>
    </row>
    <row r="92" spans="2:10">
      <c r="D92" s="9" t="str">
        <f>"FT-"&amp;Commodities!D84</f>
        <v>FT-SUPNGA</v>
      </c>
      <c r="E92" s="9" t="str">
        <f>"FT technology - "&amp;Commodities!E84</f>
        <v>FT technology - Supply Natural Gas</v>
      </c>
      <c r="F92" s="9" t="str">
        <f>Commodities!F84</f>
        <v>PJ</v>
      </c>
    </row>
    <row r="93" spans="2:10" s="576" customFormat="1">
      <c r="D93" s="9" t="str">
        <f>"FT-"&amp;Commodities!D85</f>
        <v>FT-SUPGAS</v>
      </c>
      <c r="E93" s="9" t="str">
        <f>"FT technology - "&amp;Commodities!E85</f>
        <v>FT technology - Supply Gas from national gas grid</v>
      </c>
      <c r="F93" s="9" t="str">
        <f>Commodities!F85</f>
        <v>PJ</v>
      </c>
    </row>
    <row r="94" spans="2:10">
      <c r="D94" s="9" t="str">
        <f>"FT-"&amp;Commodities!D86</f>
        <v>FT-SUPWST</v>
      </c>
      <c r="E94" s="9" t="str">
        <f>"FT technology - "&amp;Commodities!E86</f>
        <v>FT technology - Supply Waste</v>
      </c>
      <c r="F94" s="9" t="str">
        <f>Commodities!F86</f>
        <v>PJ</v>
      </c>
    </row>
    <row r="95" spans="2:10">
      <c r="D95" s="9" t="str">
        <f>"FT-"&amp;Commodities!D87</f>
        <v>FT-SUPSTR</v>
      </c>
      <c r="E95" s="9" t="str">
        <f>"FT technology - "&amp;Commodities!E87</f>
        <v>FT technology - Supply Straw</v>
      </c>
      <c r="F95" s="9" t="str">
        <f>Commodities!F87</f>
        <v>PJ</v>
      </c>
    </row>
    <row r="96" spans="2:10">
      <c r="D96" s="9" t="str">
        <f>"FT-"&amp;Commodities!D88</f>
        <v>FT-SUPDLI</v>
      </c>
      <c r="E96" s="9" t="str">
        <f>"FT technology - "&amp;Commodities!E88</f>
        <v>FT technology - Supply Deep litter</v>
      </c>
      <c r="F96" s="9" t="str">
        <f>Commodities!F88</f>
        <v>PJ</v>
      </c>
    </row>
    <row r="97" spans="4:6" s="576" customFormat="1">
      <c r="D97" s="9" t="str">
        <f>"FT-"&amp;Commodities!D89</f>
        <v>FT-SUPGRS</v>
      </c>
      <c r="E97" s="9" t="str">
        <f>"FT technology - "&amp;Commodities!E89</f>
        <v>FT technology - Supply Grass</v>
      </c>
      <c r="F97" s="9" t="str">
        <f>Commodities!F89</f>
        <v>PJ</v>
      </c>
    </row>
    <row r="98" spans="4:6">
      <c r="D98" s="9" t="str">
        <f>"FT-"&amp;Commodities!D90</f>
        <v>FT-SUPBGA</v>
      </c>
      <c r="E98" s="9" t="str">
        <f>"FT technology - "&amp;Commodities!E90</f>
        <v>FT technology - Supply Biogas</v>
      </c>
      <c r="F98" s="9" t="str">
        <f>Commodities!F90</f>
        <v>PJ</v>
      </c>
    </row>
    <row r="99" spans="4:6">
      <c r="D99" s="9" t="str">
        <f>"FT-"&amp;Commodities!D91</f>
        <v>FT-SUPWIN</v>
      </c>
      <c r="E99" s="9" t="str">
        <f>"FT technology - "&amp;Commodities!E91</f>
        <v>FT technology - Supply Wind</v>
      </c>
      <c r="F99" s="9" t="str">
        <f>Commodities!F91</f>
        <v>PJ</v>
      </c>
    </row>
    <row r="100" spans="4:6">
      <c r="D100" s="9" t="str">
        <f>"FT-"&amp;Commodities!D92</f>
        <v>FT-SUPHYD</v>
      </c>
      <c r="E100" s="9" t="str">
        <f>"FT technology - "&amp;Commodities!E92</f>
        <v>FT technology - Supply Hydro</v>
      </c>
      <c r="F100" s="9" t="str">
        <f>Commodities!F92</f>
        <v>PJ</v>
      </c>
    </row>
    <row r="101" spans="4:6">
      <c r="D101" s="9" t="str">
        <f>"FT-"&amp;Commodities!D93</f>
        <v>FT-SUPSOL</v>
      </c>
      <c r="E101" s="9" t="str">
        <f>"FT technology - "&amp;Commodities!E93</f>
        <v>FT technology - Supply Solar</v>
      </c>
      <c r="F101" s="9" t="str">
        <f>Commodities!F93</f>
        <v>PJ</v>
      </c>
    </row>
    <row r="102" spans="4:6">
      <c r="D102" s="9" t="str">
        <f>"FT-"&amp;Commodities!D94</f>
        <v>FT-SUPGEO</v>
      </c>
      <c r="E102" s="9" t="str">
        <f>"FT technology - "&amp;Commodities!E94</f>
        <v>FT technology - Supply Geothermal</v>
      </c>
      <c r="F102" s="9" t="str">
        <f>Commodities!F94</f>
        <v>PJ</v>
      </c>
    </row>
    <row r="103" spans="4:6">
      <c r="D103" s="9" t="str">
        <f>"FT-"&amp;Commodities!D95</f>
        <v>FT-SUPWAV</v>
      </c>
      <c r="E103" s="9" t="str">
        <f>"FT technology - "&amp;Commodities!E95</f>
        <v>FT technology - Supply Wave</v>
      </c>
      <c r="F103" s="9" t="str">
        <f>Commodities!F95</f>
        <v>PJ</v>
      </c>
    </row>
    <row r="104" spans="4:6">
      <c r="D104" s="9" t="str">
        <f>"FT-"&amp;Commodities!D96</f>
        <v>FT-SUPWPE</v>
      </c>
      <c r="E104" s="9" t="str">
        <f>"FT technology - "&amp;Commodities!E96</f>
        <v>FT technology - Supply Wood pellets</v>
      </c>
      <c r="F104" s="9" t="str">
        <f>Commodities!F96</f>
        <v>PJ</v>
      </c>
    </row>
    <row r="105" spans="4:6">
      <c r="D105" s="9" t="str">
        <f>"FT-"&amp;Commodities!D97</f>
        <v>FT-SUPWCH</v>
      </c>
      <c r="E105" s="9" t="str">
        <f>"FT technology - "&amp;Commodities!E97</f>
        <v>FT technology - Supply Wood chips and wood waste</v>
      </c>
      <c r="F105" s="9" t="str">
        <f>Commodities!F97</f>
        <v>PJ</v>
      </c>
    </row>
    <row r="106" spans="4:6">
      <c r="D106" s="9" t="str">
        <f>"FT-"&amp;Commodities!D98</f>
        <v>FT-SUPFIW</v>
      </c>
      <c r="E106" s="9" t="str">
        <f>"FT technology - "&amp;Commodities!E98</f>
        <v>FT technology - Supply Firewood</v>
      </c>
      <c r="F106" s="9" t="str">
        <f>Commodities!F98</f>
        <v>PJ</v>
      </c>
    </row>
    <row r="107" spans="4:6">
      <c r="D107" s="9" t="str">
        <f>"FT-"&amp;Commodities!D99</f>
        <v>FT-SUPCRD</v>
      </c>
      <c r="E107" s="9" t="str">
        <f>"FT technology - "&amp;Commodities!E99</f>
        <v>FT technology - Supply Crude Oil</v>
      </c>
      <c r="F107" s="9" t="str">
        <f>Commodities!F99</f>
        <v>PJ</v>
      </c>
    </row>
    <row r="108" spans="4:6">
      <c r="D108" s="9" t="str">
        <f>"FT-"&amp;Commodities!D100</f>
        <v>FT-SUPLPG</v>
      </c>
      <c r="E108" s="9" t="str">
        <f>"FT technology - "&amp;Commodities!E100</f>
        <v>FT technology - Supply Liquid petrol gas</v>
      </c>
      <c r="F108" s="9" t="str">
        <f>Commodities!F100</f>
        <v>PJ</v>
      </c>
    </row>
    <row r="109" spans="4:6">
      <c r="D109" s="9" t="str">
        <f>"FT-"&amp;Commodities!D101</f>
        <v>FT-SUPLVN</v>
      </c>
      <c r="E109" s="9" t="str">
        <f>"FT technology - "&amp;Commodities!E101</f>
        <v>FT technology - Supply Naphtha (Petroleoum)</v>
      </c>
      <c r="F109" s="9" t="str">
        <f>Commodities!F101</f>
        <v>PJ</v>
      </c>
    </row>
    <row r="110" spans="4:6">
      <c r="D110" s="9" t="str">
        <f>"FT-"&amp;Commodities!D102</f>
        <v>FT-SUPGSL</v>
      </c>
      <c r="E110" s="9" t="str">
        <f>"FT technology - "&amp;Commodities!E102</f>
        <v>FT technology - Supply Gasoline</v>
      </c>
      <c r="F110" s="9" t="str">
        <f>Commodities!F102</f>
        <v>PJ</v>
      </c>
    </row>
    <row r="111" spans="4:6">
      <c r="D111" s="9" t="str">
        <f>"FT-"&amp;Commodities!D103</f>
        <v>FT-SUPKER</v>
      </c>
      <c r="E111" s="9" t="str">
        <f>"FT technology - "&amp;Commodities!E103</f>
        <v>FT technology - Supply Kerosene</v>
      </c>
      <c r="F111" s="9" t="str">
        <f>Commodities!F103</f>
        <v>PJ</v>
      </c>
    </row>
    <row r="112" spans="4:6">
      <c r="D112" s="9" t="str">
        <f>"FT-"&amp;Commodities!D104</f>
        <v>FT-SUPDSL</v>
      </c>
      <c r="E112" s="9" t="str">
        <f>"FT technology - "&amp;Commodities!E104</f>
        <v>FT technology - Supply Diesel</v>
      </c>
      <c r="F112" s="9" t="str">
        <f>Commodities!F104</f>
        <v>PJ</v>
      </c>
    </row>
    <row r="113" spans="4:6">
      <c r="D113" s="9" t="str">
        <f>"FT-"&amp;Commodities!D105</f>
        <v>FT-SUPHFO</v>
      </c>
      <c r="E113" s="9" t="str">
        <f>"FT technology - "&amp;Commodities!E105</f>
        <v>FT technology - Supply Heavy Fuel Oil</v>
      </c>
      <c r="F113" s="9" t="str">
        <f>Commodities!F105</f>
        <v>PJ</v>
      </c>
    </row>
    <row r="114" spans="4:6">
      <c r="D114" s="9" t="str">
        <f>"FT-"&amp;Commodities!D106</f>
        <v>FT-SUPKRB1</v>
      </c>
      <c r="E114" s="9" t="str">
        <f>"FT technology - "&amp;Commodities!E106</f>
        <v>FT technology - Supply Bio Kerosene G1</v>
      </c>
      <c r="F114" s="9" t="str">
        <f>Commodities!F106</f>
        <v>PJ</v>
      </c>
    </row>
    <row r="115" spans="4:6">
      <c r="D115" s="9" t="str">
        <f>"FT-"&amp;Commodities!D107</f>
        <v>FT-SUPKRB2</v>
      </c>
      <c r="E115" s="9" t="str">
        <f>"FT technology - "&amp;Commodities!E107</f>
        <v>FT technology - Supply Bio Kerosene G2</v>
      </c>
      <c r="F115" s="9" t="str">
        <f>Commodities!F107</f>
        <v>PJ</v>
      </c>
    </row>
    <row r="116" spans="4:6">
      <c r="D116" s="9" t="str">
        <f>"FT-"&amp;Commodities!D108</f>
        <v>FT-SUPSNG</v>
      </c>
      <c r="E116" s="9" t="str">
        <f>"FT technology - "&amp;Commodities!E108</f>
        <v>FT technology - Supply RE Synthetic natural gas</v>
      </c>
      <c r="F116" s="9" t="str">
        <f>Commodities!F108</f>
        <v>PJ</v>
      </c>
    </row>
    <row r="117" spans="4:6">
      <c r="D117" s="9" t="str">
        <f>"FT-"&amp;Commodities!D109</f>
        <v>FT-SUPDSB1</v>
      </c>
      <c r="E117" s="9" t="str">
        <f>"FT technology - "&amp;Commodities!E109</f>
        <v>FT technology - Supply Biodiesel G1</v>
      </c>
      <c r="F117" s="9" t="str">
        <f>Commodities!F109</f>
        <v>PJ</v>
      </c>
    </row>
    <row r="118" spans="4:6">
      <c r="D118" s="9" t="str">
        <f>"FT-"&amp;Commodities!D110</f>
        <v>FT-SUPDSB2</v>
      </c>
      <c r="E118" s="9" t="str">
        <f>"FT technology - "&amp;Commodities!E110</f>
        <v>FT technology - Supply Biodiesel G2</v>
      </c>
      <c r="F118" s="9" t="str">
        <f>Commodities!F110</f>
        <v>PJ</v>
      </c>
    </row>
    <row r="119" spans="4:6">
      <c r="D119" s="9" t="str">
        <f>"FT-"&amp;Commodities!D111</f>
        <v>FT-SUPGSB</v>
      </c>
      <c r="E119" s="9" t="str">
        <f>"FT technology - "&amp;Commodities!E111</f>
        <v>FT technology - Supply RE ethanol</v>
      </c>
      <c r="F119" s="9" t="str">
        <f>Commodities!F111</f>
        <v>PJ</v>
      </c>
    </row>
    <row r="120" spans="4:6" s="576" customFormat="1">
      <c r="D120" s="9" t="str">
        <f>"FT-"&amp;Commodities!D112</f>
        <v>FT-SUPCRB</v>
      </c>
      <c r="E120" s="9" t="str">
        <f>"FT technology - "&amp;Commodities!E112</f>
        <v>FT technology - Supply Crude bio oil</v>
      </c>
      <c r="F120" s="9" t="str">
        <f>Commodities!F112</f>
        <v>PJ</v>
      </c>
    </row>
    <row r="121" spans="4:6" s="576" customFormat="1">
      <c r="D121" s="9" t="str">
        <f>"FT-"&amp;Commodities!D113</f>
        <v>FT-SUPSYN</v>
      </c>
      <c r="E121" s="9" t="str">
        <f>"FT technology - "&amp;Commodities!E113</f>
        <v>FT technology - Supply RE Syngas</v>
      </c>
      <c r="F121" s="9" t="str">
        <f>Commodities!F113</f>
        <v>PJ</v>
      </c>
    </row>
    <row r="122" spans="4:6">
      <c r="D122" s="9" t="str">
        <f>"FT-"&amp;Commodities!D114</f>
        <v>FT-SUPCRN</v>
      </c>
      <c r="E122" s="9" t="str">
        <f>"FT technology - "&amp;Commodities!E114</f>
        <v>FT technology - Supply Corn</v>
      </c>
      <c r="F122" s="9" t="str">
        <f>Commodities!F114</f>
        <v>PJ</v>
      </c>
    </row>
    <row r="123" spans="4:6">
      <c r="D123" s="9" t="str">
        <f>"FT-"&amp;Commodities!D115</f>
        <v>FT-SUPRPS</v>
      </c>
      <c r="E123" s="9" t="str">
        <f>"FT technology - "&amp;Commodities!E115</f>
        <v>FT technology - Supply Rapeseed</v>
      </c>
      <c r="F123" s="9" t="str">
        <f>Commodities!F115</f>
        <v>PJ</v>
      </c>
    </row>
    <row r="124" spans="4:6">
      <c r="D124" s="9" t="str">
        <f>"FT-"&amp;Commodities!D116</f>
        <v>FT-SUPSGB</v>
      </c>
      <c r="E124" s="9" t="str">
        <f>"FT technology - "&amp;Commodities!E116</f>
        <v>FT technology - Supply Sugar Beet</v>
      </c>
      <c r="F124" s="9" t="str">
        <f>Commodities!F116</f>
        <v>PJ</v>
      </c>
    </row>
    <row r="125" spans="4:6">
      <c r="D125" s="9" t="str">
        <f>"FT-"&amp;Commodities!D117</f>
        <v>FT-SUPMOB</v>
      </c>
      <c r="E125" s="9" t="str">
        <f>"FT technology - "&amp;Commodities!E117</f>
        <v>FT technology - Supply RE Methanol</v>
      </c>
      <c r="F125" s="9" t="str">
        <f>Commodities!F117</f>
        <v>PJ</v>
      </c>
    </row>
    <row r="126" spans="4:6">
      <c r="D126" s="9" t="str">
        <f>"FT-"&amp;Commodities!D118</f>
        <v>FT-SUPDDGS</v>
      </c>
      <c r="E126" s="9" t="str">
        <f>"FT technology - "&amp;Commodities!E118</f>
        <v>FT technology - Supply Ethanol</v>
      </c>
      <c r="F126" s="9" t="str">
        <f>Commodities!F118</f>
        <v>PJ</v>
      </c>
    </row>
    <row r="127" spans="4:6">
      <c r="D127" s="9" t="str">
        <f>"FT-"&amp;Commodities!D119</f>
        <v>FT-SUPGLY</v>
      </c>
      <c r="E127" s="9" t="str">
        <f>"FT technology - "&amp;Commodities!E119</f>
        <v>FT technology - Supply Glycerol</v>
      </c>
      <c r="F127" s="9" t="str">
        <f>Commodities!F119</f>
        <v>PJ</v>
      </c>
    </row>
    <row r="128" spans="4:6">
      <c r="D128" s="9" t="str">
        <f>"FT-"&amp;Commodities!D120</f>
        <v>FT-SUPLNB</v>
      </c>
      <c r="E128" s="9" t="str">
        <f>"FT technology - "&amp;Commodities!E120</f>
        <v>FT technology - Supply Bio Naphtha (Petroleoum)</v>
      </c>
      <c r="F128" s="9" t="str">
        <f>Commodities!F120</f>
        <v>PJ</v>
      </c>
    </row>
    <row r="129" spans="4:7" s="576" customFormat="1">
      <c r="D129" s="9" t="str">
        <f>"FT-"&amp;Commodities!D121</f>
        <v>FT-SUPH2</v>
      </c>
      <c r="E129" s="9" t="str">
        <f>"FT technology - "&amp;Commodities!E121</f>
        <v>FT technology - Supply Hydrogen</v>
      </c>
      <c r="F129" s="9" t="str">
        <f>Commodities!F121</f>
        <v>PJ</v>
      </c>
    </row>
    <row r="130" spans="4:7">
      <c r="D130" s="9" t="str">
        <f>"FT-"&amp;Commodities!D122</f>
        <v>FT-SUPRPC</v>
      </c>
      <c r="E130" s="9" t="str">
        <f>"FT technology - "&amp;Commodities!E122</f>
        <v>FT technology - Supply Rape Cake</v>
      </c>
      <c r="F130" s="9" t="str">
        <f>Commodities!F122</f>
        <v>PJ</v>
      </c>
    </row>
    <row r="131" spans="4:7">
      <c r="D131" s="9" t="str">
        <f>"FT-"&amp;Commodities!D123</f>
        <v>FT-SUPSGP</v>
      </c>
      <c r="E131" s="9" t="str">
        <f>"FT technology - "&amp;Commodities!E123</f>
        <v>FT technology - Supply Sugar Beet Pulp</v>
      </c>
      <c r="F131" s="9" t="str">
        <f>Commodities!F123</f>
        <v>PJ</v>
      </c>
    </row>
    <row r="132" spans="4:7">
      <c r="D132" s="9" t="str">
        <f>"FT-"&amp;Commodities!D124</f>
        <v>FT-SUPDME</v>
      </c>
      <c r="E132" s="9" t="str">
        <f>"FT technology - "&amp;Commodities!E124</f>
        <v>FT technology - Supply Dimethyl ether</v>
      </c>
      <c r="F132" s="9" t="str">
        <f>Commodities!F124</f>
        <v>PJ</v>
      </c>
    </row>
    <row r="133" spans="4:7">
      <c r="D133" s="9" t="str">
        <f>"FT-"&amp;Commodities!D125</f>
        <v>FT-SUPMNR</v>
      </c>
      <c r="E133" s="9" t="str">
        <f>"FT technology - "&amp;Commodities!E125</f>
        <v>FT technology - Supply Manure (Gylle)</v>
      </c>
      <c r="F133" s="9" t="str">
        <f>Commodities!F125</f>
        <v>PJ</v>
      </c>
    </row>
    <row r="134" spans="4:7">
      <c r="D134" s="9" t="str">
        <f>"FT-"&amp;Commodities!D126</f>
        <v>FT-SUPAGSL</v>
      </c>
      <c r="E134" s="9" t="str">
        <f>"FT technology - "&amp;Commodities!E126</f>
        <v>FT technology - Supply Aviation gasoline</v>
      </c>
      <c r="F134" s="9" t="str">
        <f>Commodities!F126</f>
        <v>PJ</v>
      </c>
    </row>
    <row r="135" spans="4:7">
      <c r="D135" s="9" t="str">
        <f>"FT-"&amp;Commodities!D127</f>
        <v>FT-SUPMOV</v>
      </c>
      <c r="E135" s="9" t="str">
        <f>"FT technology - "&amp;Commodities!E127</f>
        <v>FT technology - Supply Movement - Dummy commodity for bike and walk</v>
      </c>
      <c r="F135" s="9" t="str">
        <f>Commodities!F127</f>
        <v>PJ</v>
      </c>
    </row>
    <row r="136" spans="4:7">
      <c r="D136" s="9" t="s">
        <v>856</v>
      </c>
      <c r="E136" s="9" t="str">
        <f>"FT technology - "&amp;Commodities!E9</f>
        <v>FT technology - Mining Natural Gas</v>
      </c>
      <c r="F136" s="9" t="s">
        <v>62</v>
      </c>
    </row>
    <row r="137" spans="4:7">
      <c r="D137" s="9" t="s">
        <v>855</v>
      </c>
      <c r="E137" s="9" t="str">
        <f>"FT technology - "&amp;Commodities!E24</f>
        <v>FT technology - Mining Crude Oil</v>
      </c>
      <c r="F137" s="9" t="s">
        <v>62</v>
      </c>
    </row>
    <row r="138" spans="4:7">
      <c r="D138" s="9" t="s">
        <v>880</v>
      </c>
      <c r="E138" s="9" t="str">
        <f>"FT technology - "&amp;Commodities!E8&amp;" blending 1"</f>
        <v>FT technology - Gas from national gas grid blending 1</v>
      </c>
      <c r="F138" s="9" t="s">
        <v>62</v>
      </c>
    </row>
    <row r="139" spans="4:7">
      <c r="D139" s="9" t="s">
        <v>881</v>
      </c>
      <c r="E139" s="9" t="str">
        <f>"FT technology - "&amp;Commodities!E8&amp;" blending 2"</f>
        <v>FT technology - Gas from national gas grid blending 2</v>
      </c>
      <c r="F139" s="9" t="s">
        <v>62</v>
      </c>
    </row>
    <row r="140" spans="4:7">
      <c r="D140" s="9" t="s">
        <v>882</v>
      </c>
      <c r="E140" s="9" t="str">
        <f>"FT technology - "&amp;Commodities!E8&amp;" blending 3"</f>
        <v>FT technology - Gas from national gas grid blending 3</v>
      </c>
      <c r="F140" s="9" t="s">
        <v>62</v>
      </c>
    </row>
    <row r="141" spans="4:7">
      <c r="D141" s="576" t="s">
        <v>923</v>
      </c>
      <c r="E141" s="576" t="s">
        <v>932</v>
      </c>
      <c r="F141" s="663" t="s">
        <v>163</v>
      </c>
      <c r="G141" s="663"/>
    </row>
    <row r="142" spans="4:7">
      <c r="D142" s="9"/>
      <c r="E142" s="9"/>
      <c r="F142" s="9"/>
    </row>
    <row r="143" spans="4:7">
      <c r="D143" s="9"/>
      <c r="E143" s="9"/>
      <c r="F143" s="9"/>
    </row>
    <row r="144" spans="4:7">
      <c r="D144" s="9"/>
      <c r="E144" s="9"/>
      <c r="F144" s="9"/>
    </row>
    <row r="145" spans="4:6">
      <c r="D145" s="9"/>
      <c r="E145" s="9"/>
      <c r="F145" s="9"/>
    </row>
    <row r="146" spans="4:6">
      <c r="D146" s="9"/>
      <c r="E146" s="9"/>
      <c r="F146" s="9"/>
    </row>
    <row r="147" spans="4:6">
      <c r="D147" s="9"/>
      <c r="E147" s="9"/>
      <c r="F147" s="9"/>
    </row>
    <row r="148" spans="4:6">
      <c r="D148" s="9"/>
      <c r="E148" s="9"/>
      <c r="F148" s="9"/>
    </row>
    <row r="149" spans="4:6">
      <c r="D149" s="9"/>
      <c r="E149" s="9"/>
      <c r="F149" s="9"/>
    </row>
    <row r="150" spans="4:6">
      <c r="D150" s="9"/>
      <c r="E150" s="9"/>
      <c r="F150" s="9"/>
    </row>
    <row r="151" spans="4:6">
      <c r="D151" s="9"/>
      <c r="E151" s="9"/>
      <c r="F151" s="9"/>
    </row>
    <row r="152" spans="4:6">
      <c r="D152" s="9"/>
      <c r="E152" s="9"/>
      <c r="F152" s="9"/>
    </row>
    <row r="153" spans="4:6">
      <c r="D153" s="9"/>
      <c r="E153" s="9"/>
      <c r="F153" s="9"/>
    </row>
    <row r="154" spans="4:6">
      <c r="D154" s="9"/>
      <c r="E154" s="9"/>
      <c r="F154" s="9"/>
    </row>
    <row r="155" spans="4:6">
      <c r="D155" s="9"/>
      <c r="E155" s="9"/>
      <c r="F155" s="9"/>
    </row>
    <row r="156" spans="4:6">
      <c r="D156" s="9"/>
      <c r="E156" s="9"/>
      <c r="F156" s="9"/>
    </row>
    <row r="157" spans="4:6">
      <c r="D157" s="9"/>
      <c r="E157" s="9"/>
      <c r="F157" s="9"/>
    </row>
    <row r="158" spans="4:6">
      <c r="D158" s="9"/>
      <c r="E158" s="9"/>
      <c r="F158" s="9"/>
    </row>
    <row r="159" spans="4:6">
      <c r="D159" s="9"/>
      <c r="E159" s="9"/>
      <c r="F159" s="9"/>
    </row>
    <row r="160" spans="4:6">
      <c r="D160" s="9"/>
      <c r="E160" s="9"/>
      <c r="F160" s="9"/>
    </row>
    <row r="161" spans="4:6">
      <c r="D161" s="9"/>
      <c r="E161" s="9"/>
      <c r="F161" s="9"/>
    </row>
    <row r="162" spans="4:6">
      <c r="D162" s="9"/>
      <c r="E162" s="9"/>
      <c r="F162" s="9"/>
    </row>
    <row r="163" spans="4:6">
      <c r="D163" s="9"/>
      <c r="E163" s="9"/>
      <c r="F163" s="9"/>
    </row>
    <row r="164" spans="4:6">
      <c r="D164" s="9"/>
      <c r="E164" s="9"/>
      <c r="F164" s="9"/>
    </row>
    <row r="165" spans="4:6">
      <c r="D165" s="9"/>
      <c r="E165" s="9"/>
      <c r="F165" s="9"/>
    </row>
    <row r="166" spans="4:6">
      <c r="D166" s="9"/>
      <c r="E166" s="9"/>
      <c r="F166" s="9"/>
    </row>
    <row r="167" spans="4:6">
      <c r="D167" s="9"/>
      <c r="E167" s="9"/>
      <c r="F167" s="9"/>
    </row>
    <row r="168" spans="4:6">
      <c r="D168" s="9"/>
      <c r="E168" s="9"/>
      <c r="F168" s="9"/>
    </row>
    <row r="169" spans="4:6">
      <c r="D169" s="9"/>
      <c r="E169" s="9"/>
      <c r="F169" s="9"/>
    </row>
    <row r="170" spans="4:6">
      <c r="D170" s="9"/>
      <c r="E170" s="9"/>
      <c r="F170" s="9"/>
    </row>
    <row r="171" spans="4:6">
      <c r="D171" s="9"/>
      <c r="E171" s="9"/>
      <c r="F171" s="9"/>
    </row>
    <row r="172" spans="4:6">
      <c r="D172" s="9"/>
      <c r="E172" s="9"/>
      <c r="F172" s="9"/>
    </row>
    <row r="173" spans="4:6">
      <c r="D173" s="9"/>
      <c r="E173" s="9"/>
      <c r="F173" s="9"/>
    </row>
    <row r="174" spans="4:6">
      <c r="D174" s="9"/>
      <c r="E174" s="9"/>
      <c r="F174" s="9"/>
    </row>
    <row r="175" spans="4:6">
      <c r="D175" s="9"/>
      <c r="E175" s="9"/>
      <c r="F175" s="9"/>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B1:DC2148"/>
  <sheetViews>
    <sheetView zoomScale="55" zoomScaleNormal="55" workbookViewId="0">
      <pane xSplit="3" ySplit="23" topLeftCell="D260" activePane="bottomRight" state="frozen"/>
      <selection pane="topRight" activeCell="D1" sqref="D1"/>
      <selection pane="bottomLeft" activeCell="A24" sqref="A24"/>
      <selection pane="bottomRight" activeCell="K349" sqref="K349"/>
    </sheetView>
  </sheetViews>
  <sheetFormatPr defaultRowHeight="12.75"/>
  <cols>
    <col min="1" max="1" width="3.28515625" customWidth="1"/>
    <col min="2" max="2" width="14.140625" customWidth="1"/>
    <col min="3" max="3" width="42.7109375" customWidth="1"/>
    <col min="4" max="4" width="37.140625" bestFit="1" customWidth="1"/>
    <col min="5" max="5" width="22.7109375" style="6" customWidth="1"/>
    <col min="6" max="6" width="13" style="4" customWidth="1"/>
    <col min="7" max="46" width="13" customWidth="1"/>
    <col min="47" max="47" width="10" bestFit="1" customWidth="1"/>
    <col min="48" max="48" width="12.5703125" bestFit="1" customWidth="1"/>
  </cols>
  <sheetData>
    <row r="1" spans="3:51">
      <c r="E1" s="7"/>
      <c r="F1" s="7"/>
      <c r="G1" s="4"/>
      <c r="H1" s="4"/>
    </row>
    <row r="2" spans="3:51">
      <c r="F2" s="7"/>
      <c r="G2" s="4"/>
      <c r="H2" s="4"/>
    </row>
    <row r="3" spans="3:51">
      <c r="F3" s="7"/>
      <c r="G3" s="4"/>
      <c r="H3" s="4"/>
      <c r="AV3">
        <v>2010</v>
      </c>
      <c r="AW3">
        <v>2011</v>
      </c>
      <c r="AX3">
        <v>2012</v>
      </c>
      <c r="AY3">
        <v>2015</v>
      </c>
    </row>
    <row r="4" spans="3:51" ht="13.5" hidden="1" thickBot="1">
      <c r="C4" s="273" t="s">
        <v>397</v>
      </c>
      <c r="D4" s="274" t="s">
        <v>388</v>
      </c>
      <c r="E4" s="274"/>
      <c r="F4" s="274" t="s">
        <v>400</v>
      </c>
      <c r="G4" s="274" t="s">
        <v>390</v>
      </c>
      <c r="H4" s="274" t="s">
        <v>507</v>
      </c>
      <c r="I4" s="275" t="s">
        <v>182</v>
      </c>
    </row>
    <row r="5" spans="3:51" hidden="1">
      <c r="C5" s="270" t="s">
        <v>401</v>
      </c>
      <c r="D5" s="1" t="s">
        <v>402</v>
      </c>
      <c r="E5" s="1">
        <v>0.1</v>
      </c>
      <c r="F5" s="1" t="s">
        <v>394</v>
      </c>
      <c r="G5" s="1" t="s">
        <v>403</v>
      </c>
      <c r="H5" s="1"/>
      <c r="I5" s="250"/>
    </row>
    <row r="6" spans="3:51" hidden="1">
      <c r="C6" s="270" t="s">
        <v>382</v>
      </c>
      <c r="D6" s="1" t="s">
        <v>389</v>
      </c>
      <c r="E6" s="1">
        <v>3</v>
      </c>
      <c r="F6" s="1" t="s">
        <v>395</v>
      </c>
      <c r="G6" s="1" t="s">
        <v>391</v>
      </c>
      <c r="H6" s="1"/>
      <c r="I6" s="250"/>
    </row>
    <row r="7" spans="3:51" hidden="1">
      <c r="C7" s="270" t="s">
        <v>383</v>
      </c>
      <c r="D7" s="1" t="s">
        <v>392</v>
      </c>
      <c r="E7" s="1">
        <v>3</v>
      </c>
      <c r="F7" s="1" t="s">
        <v>395</v>
      </c>
      <c r="G7" s="1" t="s">
        <v>391</v>
      </c>
      <c r="H7" s="1"/>
      <c r="I7" s="250"/>
    </row>
    <row r="8" spans="3:51" hidden="1">
      <c r="C8" s="270" t="s">
        <v>387</v>
      </c>
      <c r="D8" s="1" t="s">
        <v>392</v>
      </c>
      <c r="E8" s="1">
        <v>3</v>
      </c>
      <c r="F8" s="1" t="s">
        <v>395</v>
      </c>
      <c r="G8" s="15" t="s">
        <v>391</v>
      </c>
      <c r="H8" s="15"/>
      <c r="I8" s="250"/>
    </row>
    <row r="9" spans="3:51" s="490" customFormat="1" hidden="1">
      <c r="C9" s="270" t="s">
        <v>775</v>
      </c>
      <c r="D9" s="569" t="s">
        <v>776</v>
      </c>
      <c r="E9" s="3">
        <v>1.1000000000000001</v>
      </c>
      <c r="F9" s="3" t="s">
        <v>395</v>
      </c>
      <c r="G9" s="570" t="s">
        <v>391</v>
      </c>
      <c r="H9" s="15"/>
      <c r="I9" s="1"/>
    </row>
    <row r="10" spans="3:51" hidden="1">
      <c r="C10" s="270" t="s">
        <v>384</v>
      </c>
      <c r="D10" s="15" t="s">
        <v>645</v>
      </c>
      <c r="E10" s="272">
        <v>63.673753033597997</v>
      </c>
      <c r="F10" s="1" t="s">
        <v>394</v>
      </c>
      <c r="G10" s="1" t="s">
        <v>393</v>
      </c>
      <c r="I10" s="527">
        <v>41640</v>
      </c>
    </row>
    <row r="11" spans="3:51" hidden="1">
      <c r="C11" s="270" t="s">
        <v>385</v>
      </c>
      <c r="D11" s="15" t="s">
        <v>646</v>
      </c>
      <c r="E11" s="272">
        <v>99.186998923418699</v>
      </c>
      <c r="F11" s="1" t="s">
        <v>394</v>
      </c>
      <c r="G11" s="1" t="s">
        <v>393</v>
      </c>
      <c r="I11" s="527">
        <v>41640</v>
      </c>
    </row>
    <row r="12" spans="3:51" hidden="1">
      <c r="C12" s="270" t="s">
        <v>386</v>
      </c>
      <c r="D12" s="1" t="s">
        <v>396</v>
      </c>
      <c r="E12" s="1"/>
      <c r="F12" s="1"/>
      <c r="G12" s="1" t="s">
        <v>391</v>
      </c>
      <c r="H12" s="1"/>
      <c r="I12" s="250"/>
    </row>
    <row r="13" spans="3:51" s="576" customFormat="1" hidden="1">
      <c r="C13" s="270" t="s">
        <v>841</v>
      </c>
      <c r="D13" s="3" t="s">
        <v>842</v>
      </c>
      <c r="E13" s="645">
        <v>1.05</v>
      </c>
      <c r="F13" s="1"/>
      <c r="G13" s="3" t="s">
        <v>687</v>
      </c>
      <c r="H13" s="1"/>
      <c r="I13" s="250"/>
    </row>
    <row r="14" spans="3:51" hidden="1">
      <c r="C14" s="270" t="s">
        <v>398</v>
      </c>
      <c r="D14" s="15" t="str">
        <f>E14*100&amp;"% of imported crude oil cost"</f>
        <v>95% of imported crude oil cost</v>
      </c>
      <c r="E14" s="276">
        <v>0.95</v>
      </c>
      <c r="F14" s="1"/>
      <c r="G14" s="1" t="s">
        <v>687</v>
      </c>
      <c r="H14" s="488" t="s">
        <v>688</v>
      </c>
      <c r="I14" s="250"/>
    </row>
    <row r="15" spans="3:51" hidden="1">
      <c r="C15" s="270" t="s">
        <v>380</v>
      </c>
      <c r="D15" s="1" t="str">
        <f>E15*100&amp;"% of imported natural gas cost"</f>
        <v>95% of imported natural gas cost</v>
      </c>
      <c r="E15" s="276">
        <v>0.95</v>
      </c>
      <c r="F15" s="1"/>
      <c r="G15" s="1" t="s">
        <v>687</v>
      </c>
      <c r="H15" s="1" t="s">
        <v>688</v>
      </c>
      <c r="I15" s="250"/>
    </row>
    <row r="16" spans="3:51" hidden="1">
      <c r="C16" s="281" t="s">
        <v>641</v>
      </c>
      <c r="D16" s="1" t="str">
        <f>E16*100&amp;"% of imported crude oil cost"</f>
        <v>95% of imported crude oil cost</v>
      </c>
      <c r="E16" s="276">
        <v>0.95</v>
      </c>
      <c r="F16" s="1"/>
      <c r="G16" s="1" t="s">
        <v>391</v>
      </c>
      <c r="H16" s="1"/>
      <c r="I16" s="250"/>
    </row>
    <row r="17" spans="2:62" hidden="1">
      <c r="C17" s="281" t="s">
        <v>640</v>
      </c>
      <c r="D17" s="1" t="str">
        <f>E17*100&amp;"% of imported natural gas cost"</f>
        <v>95% of imported natural gas cost</v>
      </c>
      <c r="E17" s="276">
        <v>0.95</v>
      </c>
      <c r="F17" s="1"/>
      <c r="G17" s="1" t="s">
        <v>391</v>
      </c>
      <c r="H17" s="1"/>
      <c r="I17" s="250"/>
    </row>
    <row r="18" spans="2:62" s="490" customFormat="1" hidden="1">
      <c r="C18" s="525" t="s">
        <v>710</v>
      </c>
      <c r="D18" s="1" t="str">
        <f>E18*100&amp;"% of imported biofuel cost"</f>
        <v>5% of imported biofuel cost</v>
      </c>
      <c r="E18" s="526">
        <v>0.05</v>
      </c>
      <c r="F18" s="1"/>
      <c r="G18" s="1" t="s">
        <v>687</v>
      </c>
      <c r="H18" s="1"/>
      <c r="I18" s="250"/>
    </row>
    <row r="19" spans="2:62" ht="13.5" hidden="1" thickBot="1">
      <c r="C19" s="271" t="s">
        <v>399</v>
      </c>
      <c r="D19" s="278" t="str">
        <f>E19*100&amp;"% of import technology price (set low to avoid export)"</f>
        <v>95% of import technology price (set low to avoid export)</v>
      </c>
      <c r="E19" s="277">
        <v>0.95</v>
      </c>
      <c r="F19" s="251"/>
      <c r="G19" s="251" t="s">
        <v>687</v>
      </c>
      <c r="H19" s="251"/>
      <c r="I19" s="252"/>
    </row>
    <row r="20" spans="2:62">
      <c r="D20" s="7"/>
      <c r="E20" s="2"/>
      <c r="F20" s="2"/>
      <c r="G20" s="4"/>
      <c r="H20" s="4"/>
    </row>
    <row r="21" spans="2:62">
      <c r="F21" s="109" t="s">
        <v>241</v>
      </c>
      <c r="G21" s="4"/>
      <c r="H21" s="4"/>
    </row>
    <row r="22" spans="2:62" ht="25.5">
      <c r="B22" s="13" t="s">
        <v>1</v>
      </c>
      <c r="C22" s="13" t="s">
        <v>21</v>
      </c>
      <c r="D22" s="13" t="s">
        <v>85</v>
      </c>
      <c r="E22" s="13" t="s">
        <v>13</v>
      </c>
      <c r="F22" s="13" t="s">
        <v>242</v>
      </c>
      <c r="G22" s="86" t="s">
        <v>63</v>
      </c>
      <c r="H22" s="86" t="s">
        <v>375</v>
      </c>
      <c r="I22" s="86" t="s">
        <v>207</v>
      </c>
      <c r="J22" s="86" t="s">
        <v>208</v>
      </c>
      <c r="K22" s="86" t="s">
        <v>209</v>
      </c>
      <c r="L22" s="86" t="s">
        <v>66</v>
      </c>
      <c r="M22" s="86" t="s">
        <v>210</v>
      </c>
      <c r="N22" s="86" t="s">
        <v>211</v>
      </c>
      <c r="O22" s="86" t="s">
        <v>212</v>
      </c>
      <c r="P22" s="86" t="s">
        <v>213</v>
      </c>
      <c r="Q22" s="86" t="s">
        <v>64</v>
      </c>
      <c r="R22" s="86" t="s">
        <v>214</v>
      </c>
      <c r="S22" s="86" t="s">
        <v>215</v>
      </c>
      <c r="T22" s="86" t="s">
        <v>216</v>
      </c>
      <c r="U22" s="86" t="s">
        <v>217</v>
      </c>
      <c r="V22" s="86" t="s">
        <v>67</v>
      </c>
      <c r="W22" s="86" t="s">
        <v>218</v>
      </c>
      <c r="X22" s="86" t="s">
        <v>219</v>
      </c>
      <c r="Y22" s="86" t="s">
        <v>220</v>
      </c>
      <c r="Z22" s="86" t="s">
        <v>221</v>
      </c>
      <c r="AA22" s="86" t="s">
        <v>71</v>
      </c>
      <c r="AB22" s="86" t="s">
        <v>222</v>
      </c>
      <c r="AC22" s="86" t="s">
        <v>223</v>
      </c>
      <c r="AD22" s="86" t="s">
        <v>224</v>
      </c>
      <c r="AE22" s="86" t="s">
        <v>225</v>
      </c>
      <c r="AF22" s="86" t="s">
        <v>68</v>
      </c>
      <c r="AG22" s="86" t="s">
        <v>226</v>
      </c>
      <c r="AH22" s="86" t="s">
        <v>227</v>
      </c>
      <c r="AI22" s="86" t="s">
        <v>228</v>
      </c>
      <c r="AJ22" s="86" t="s">
        <v>229</v>
      </c>
      <c r="AK22" s="86" t="s">
        <v>69</v>
      </c>
      <c r="AL22" s="86" t="s">
        <v>230</v>
      </c>
      <c r="AM22" s="86" t="s">
        <v>231</v>
      </c>
      <c r="AN22" s="86" t="s">
        <v>232</v>
      </c>
      <c r="AO22" s="86" t="s">
        <v>233</v>
      </c>
      <c r="AP22" s="86" t="s">
        <v>70</v>
      </c>
      <c r="AQ22" s="86" t="s">
        <v>234</v>
      </c>
      <c r="AR22" s="86" t="s">
        <v>235</v>
      </c>
      <c r="AS22" s="86" t="s">
        <v>236</v>
      </c>
      <c r="AT22" s="86" t="s">
        <v>237</v>
      </c>
      <c r="AU22" s="86" t="s">
        <v>65</v>
      </c>
      <c r="AV22" s="617" t="s">
        <v>811</v>
      </c>
      <c r="AW22" s="617" t="s">
        <v>812</v>
      </c>
      <c r="AX22" s="617" t="s">
        <v>813</v>
      </c>
      <c r="AY22" s="617" t="s">
        <v>814</v>
      </c>
      <c r="AZ22" s="617" t="s">
        <v>815</v>
      </c>
      <c r="BA22" s="617" t="s">
        <v>816</v>
      </c>
      <c r="BB22" s="617" t="s">
        <v>817</v>
      </c>
      <c r="BC22" s="617" t="s">
        <v>818</v>
      </c>
      <c r="BD22" s="617" t="s">
        <v>297</v>
      </c>
      <c r="BE22" s="616"/>
      <c r="BF22" s="616"/>
      <c r="BG22" s="616" t="s">
        <v>819</v>
      </c>
      <c r="BH22" s="616"/>
      <c r="BI22" s="616"/>
      <c r="BJ22" s="616"/>
    </row>
    <row r="23" spans="2:62" ht="13.5" thickBot="1">
      <c r="B23" s="14" t="s">
        <v>22</v>
      </c>
      <c r="C23" s="258"/>
      <c r="D23" s="258"/>
      <c r="E23" s="258"/>
      <c r="F23" s="258" t="s">
        <v>244</v>
      </c>
      <c r="G23" s="259">
        <v>2010</v>
      </c>
      <c r="H23" s="259">
        <v>2011</v>
      </c>
      <c r="I23" s="259">
        <v>2012</v>
      </c>
      <c r="J23" s="259">
        <v>2013</v>
      </c>
      <c r="K23" s="259">
        <v>2014</v>
      </c>
      <c r="L23" s="259">
        <v>2015</v>
      </c>
      <c r="M23" s="259">
        <v>2016</v>
      </c>
      <c r="N23" s="259">
        <v>2017</v>
      </c>
      <c r="O23" s="259">
        <v>2018</v>
      </c>
      <c r="P23" s="259">
        <v>2019</v>
      </c>
      <c r="Q23" s="259">
        <v>2020</v>
      </c>
      <c r="R23" s="259">
        <v>2021</v>
      </c>
      <c r="S23" s="259">
        <v>2022</v>
      </c>
      <c r="T23" s="259">
        <v>2023</v>
      </c>
      <c r="U23" s="259">
        <v>2024</v>
      </c>
      <c r="V23" s="259">
        <v>2025</v>
      </c>
      <c r="W23" s="259">
        <v>2026</v>
      </c>
      <c r="X23" s="259">
        <v>2027</v>
      </c>
      <c r="Y23" s="259">
        <v>2028</v>
      </c>
      <c r="Z23" s="259">
        <v>2029</v>
      </c>
      <c r="AA23" s="259">
        <v>2030</v>
      </c>
      <c r="AB23" s="259">
        <v>2031</v>
      </c>
      <c r="AC23" s="259">
        <v>2032</v>
      </c>
      <c r="AD23" s="259">
        <v>2033</v>
      </c>
      <c r="AE23" s="259">
        <v>2034</v>
      </c>
      <c r="AF23" s="259">
        <v>2035</v>
      </c>
      <c r="AG23" s="259">
        <v>2036</v>
      </c>
      <c r="AH23" s="259">
        <v>2037</v>
      </c>
      <c r="AI23" s="259">
        <v>2038</v>
      </c>
      <c r="AJ23" s="259">
        <v>2039</v>
      </c>
      <c r="AK23" s="259">
        <v>2040</v>
      </c>
      <c r="AL23" s="259">
        <v>2041</v>
      </c>
      <c r="AM23" s="259">
        <v>2042</v>
      </c>
      <c r="AN23" s="259">
        <v>2043</v>
      </c>
      <c r="AO23" s="259">
        <v>2044</v>
      </c>
      <c r="AP23" s="259">
        <v>2045</v>
      </c>
      <c r="AQ23" s="259">
        <v>2046</v>
      </c>
      <c r="AR23" s="259">
        <v>2047</v>
      </c>
      <c r="AS23" s="259">
        <v>2048</v>
      </c>
      <c r="AT23" s="259">
        <v>2049</v>
      </c>
      <c r="AU23" s="259">
        <v>2050</v>
      </c>
      <c r="AV23" s="618" t="s">
        <v>62</v>
      </c>
      <c r="AW23" s="618" t="s">
        <v>62</v>
      </c>
      <c r="AX23" s="618" t="s">
        <v>62</v>
      </c>
      <c r="AY23" s="618" t="s">
        <v>62</v>
      </c>
      <c r="AZ23" s="618" t="s">
        <v>62</v>
      </c>
      <c r="BA23" s="618" t="s">
        <v>62</v>
      </c>
      <c r="BB23" s="618" t="s">
        <v>62</v>
      </c>
      <c r="BC23" s="618" t="s">
        <v>62</v>
      </c>
      <c r="BD23" s="618" t="s">
        <v>298</v>
      </c>
      <c r="BE23" s="616"/>
      <c r="BF23" s="616"/>
      <c r="BG23" s="616"/>
      <c r="BH23" s="616"/>
      <c r="BI23" s="616"/>
      <c r="BJ23" s="616"/>
    </row>
    <row r="24" spans="2:62" ht="15">
      <c r="B24" s="10" t="str">
        <f>Processes!D6</f>
        <v>IMPCOA</v>
      </c>
      <c r="C24" s="10" t="str">
        <f>Processes!E6</f>
        <v>Import technology - Coal</v>
      </c>
      <c r="D24" s="263"/>
      <c r="E24" s="263" t="str">
        <f>Commodities!D6</f>
        <v>COA</v>
      </c>
      <c r="F24" s="108" t="str">
        <f>VLOOKUP(E24,$E$113:$F$166,2,FALSE)</f>
        <v>MKr19</v>
      </c>
      <c r="G24" s="575">
        <f t="shared" ref="G24:P30" si="0">IFERROR(INDEX($G$113:$AU$169,MATCH($E24,$E$113:$E$169,0),MATCH(G$23,$G$112:$AU$112,0)),0)</f>
        <v>23.1</v>
      </c>
      <c r="H24" s="575">
        <f t="shared" si="0"/>
        <v>27.7</v>
      </c>
      <c r="I24" s="575">
        <f t="shared" si="0"/>
        <v>23.9</v>
      </c>
      <c r="J24" s="575">
        <f t="shared" si="0"/>
        <v>20.3</v>
      </c>
      <c r="K24" s="575">
        <f t="shared" si="0"/>
        <v>17.2</v>
      </c>
      <c r="L24" s="575">
        <f t="shared" si="0"/>
        <v>15.7</v>
      </c>
      <c r="M24" s="575">
        <f t="shared" si="0"/>
        <v>12.2</v>
      </c>
      <c r="N24" s="575">
        <f t="shared" si="0"/>
        <v>11.7</v>
      </c>
      <c r="O24" s="575">
        <f t="shared" si="0"/>
        <v>22.935796128023767</v>
      </c>
      <c r="P24" s="575">
        <f t="shared" si="0"/>
        <v>15.532766006190153</v>
      </c>
      <c r="Q24" s="575">
        <f t="shared" ref="Q24:Z30" si="1">IFERROR(INDEX($G$113:$AU$169,MATCH($E24,$E$113:$E$169,0),MATCH(Q$23,$G$112:$AU$112,0)),0)</f>
        <v>12.929551889587877</v>
      </c>
      <c r="R24" s="575">
        <f t="shared" si="1"/>
        <v>13.166058954324894</v>
      </c>
      <c r="S24" s="575">
        <f t="shared" si="1"/>
        <v>13.673473481430243</v>
      </c>
      <c r="T24" s="575">
        <f t="shared" si="1"/>
        <v>14.173926683886389</v>
      </c>
      <c r="U24" s="575">
        <f t="shared" si="1"/>
        <v>14.64740072098045</v>
      </c>
      <c r="V24" s="575">
        <f t="shared" si="1"/>
        <v>14.580898828103843</v>
      </c>
      <c r="W24" s="575">
        <f t="shared" si="1"/>
        <v>14.5316584938834</v>
      </c>
      <c r="X24" s="575">
        <f t="shared" si="1"/>
        <v>14.477230593088336</v>
      </c>
      <c r="Y24" s="575">
        <f t="shared" si="1"/>
        <v>14.413190648189367</v>
      </c>
      <c r="Z24" s="575">
        <f t="shared" si="1"/>
        <v>14.343963605486476</v>
      </c>
      <c r="AA24" s="575">
        <f t="shared" ref="AA24:AJ30" si="2">IFERROR(INDEX($G$113:$AU$169,MATCH($E24,$E$113:$E$169,0),MATCH(AA$23,$G$112:$AU$112,0)),0)</f>
        <v>14.266503152082981</v>
      </c>
      <c r="AB24" s="575">
        <f t="shared" si="2"/>
        <v>14.23069306413351</v>
      </c>
      <c r="AC24" s="575">
        <f t="shared" si="2"/>
        <v>14.195037264254136</v>
      </c>
      <c r="AD24" s="575">
        <f t="shared" si="2"/>
        <v>14.159114470166005</v>
      </c>
      <c r="AE24" s="575">
        <f t="shared" si="2"/>
        <v>14.123353426479357</v>
      </c>
      <c r="AF24" s="575">
        <f t="shared" si="2"/>
        <v>14.087572006623748</v>
      </c>
      <c r="AG24" s="575">
        <f t="shared" si="2"/>
        <v>14.051985690698709</v>
      </c>
      <c r="AH24" s="575">
        <f t="shared" si="2"/>
        <v>14.016171250456402</v>
      </c>
      <c r="AI24" s="575">
        <f t="shared" si="2"/>
        <v>13.980510738351196</v>
      </c>
      <c r="AJ24" s="575">
        <f t="shared" si="2"/>
        <v>13.944654498795146</v>
      </c>
      <c r="AK24" s="575">
        <f t="shared" ref="AK24:AU30" si="3">IFERROR(INDEX($G$113:$AU$169,MATCH($E24,$E$113:$E$169,0),MATCH(AK$23,$G$112:$AU$112,0)),0)</f>
        <v>13.908861871625055</v>
      </c>
      <c r="AL24" s="575">
        <f t="shared" si="3"/>
        <v>13.873069138182171</v>
      </c>
      <c r="AM24" s="575">
        <f t="shared" si="3"/>
        <v>13.836610452807903</v>
      </c>
      <c r="AN24" s="575">
        <f t="shared" si="3"/>
        <v>13.800150557366436</v>
      </c>
      <c r="AO24" s="575">
        <f t="shared" si="3"/>
        <v>13.763689450310618</v>
      </c>
      <c r="AP24" s="575">
        <f t="shared" si="3"/>
        <v>13.727227130091334</v>
      </c>
      <c r="AQ24" s="575">
        <f t="shared" si="3"/>
        <v>13.690763595157463</v>
      </c>
      <c r="AR24" s="575">
        <f t="shared" si="3"/>
        <v>13.654298843955917</v>
      </c>
      <c r="AS24" s="575">
        <f t="shared" si="3"/>
        <v>13.617832874931624</v>
      </c>
      <c r="AT24" s="575">
        <f t="shared" si="3"/>
        <v>13.581365686527514</v>
      </c>
      <c r="AU24" s="575">
        <f t="shared" si="3"/>
        <v>13.544897277184536</v>
      </c>
      <c r="AV24" s="619"/>
      <c r="AW24" s="619"/>
      <c r="AX24" s="619"/>
      <c r="AY24" s="619"/>
      <c r="AZ24" s="616"/>
      <c r="BA24" s="616"/>
      <c r="BB24" s="616"/>
      <c r="BC24" s="616"/>
      <c r="BD24" s="616"/>
      <c r="BE24" s="616"/>
      <c r="BF24" s="616"/>
      <c r="BG24" s="616" t="s">
        <v>820</v>
      </c>
      <c r="BH24" s="616" t="s">
        <v>821</v>
      </c>
      <c r="BI24" s="616"/>
      <c r="BJ24" s="616"/>
    </row>
    <row r="25" spans="2:62" ht="15">
      <c r="B25" s="10" t="str">
        <f>Processes!D7</f>
        <v>IMPNGA</v>
      </c>
      <c r="C25" s="10" t="str">
        <f>Processes!E7</f>
        <v>Import technology - Natural Gas</v>
      </c>
      <c r="D25" s="263"/>
      <c r="E25" s="263" t="str">
        <f>Commodities!D7</f>
        <v>NGA</v>
      </c>
      <c r="F25" s="108" t="str">
        <f t="shared" ref="F25:F66" si="4">VLOOKUP(E25,$E$113:$F$166,2,FALSE)</f>
        <v>MKr19</v>
      </c>
      <c r="G25" s="575">
        <f t="shared" si="0"/>
        <v>44.4</v>
      </c>
      <c r="H25" s="575">
        <f t="shared" si="0"/>
        <v>46.1</v>
      </c>
      <c r="I25" s="575">
        <f t="shared" si="0"/>
        <v>55.1</v>
      </c>
      <c r="J25" s="575">
        <f t="shared" si="0"/>
        <v>54.2</v>
      </c>
      <c r="K25" s="575">
        <f t="shared" si="0"/>
        <v>45.7</v>
      </c>
      <c r="L25" s="575">
        <f t="shared" si="0"/>
        <v>44</v>
      </c>
      <c r="M25" s="575">
        <f t="shared" si="0"/>
        <v>36.799999999999997</v>
      </c>
      <c r="N25" s="575">
        <f t="shared" si="0"/>
        <v>36.9</v>
      </c>
      <c r="O25" s="575">
        <f t="shared" si="0"/>
        <v>53.422183381850253</v>
      </c>
      <c r="P25" s="575">
        <f t="shared" si="0"/>
        <v>34.261011240620462</v>
      </c>
      <c r="Q25" s="575">
        <f t="shared" si="1"/>
        <v>33.397849986482257</v>
      </c>
      <c r="R25" s="575">
        <f t="shared" si="1"/>
        <v>31.525290025438199</v>
      </c>
      <c r="S25" s="575">
        <f t="shared" si="1"/>
        <v>32.762548621541896</v>
      </c>
      <c r="T25" s="575">
        <f t="shared" si="1"/>
        <v>33.367688312875465</v>
      </c>
      <c r="U25" s="575">
        <f t="shared" si="1"/>
        <v>33.567123920362071</v>
      </c>
      <c r="V25" s="575">
        <f t="shared" si="1"/>
        <v>33.506083462913665</v>
      </c>
      <c r="W25" s="575">
        <f t="shared" si="1"/>
        <v>33.467639204304064</v>
      </c>
      <c r="X25" s="575">
        <f t="shared" si="1"/>
        <v>33.442947086231669</v>
      </c>
      <c r="Y25" s="575">
        <f t="shared" si="1"/>
        <v>33.42179959045346</v>
      </c>
      <c r="Z25" s="575">
        <f t="shared" si="1"/>
        <v>33.414220248022303</v>
      </c>
      <c r="AA25" s="575">
        <f t="shared" si="2"/>
        <v>33.412152610409883</v>
      </c>
      <c r="AB25" s="575">
        <f t="shared" si="2"/>
        <v>33.458238338148384</v>
      </c>
      <c r="AC25" s="575">
        <f t="shared" si="2"/>
        <v>33.504324065886884</v>
      </c>
      <c r="AD25" s="575">
        <f t="shared" si="2"/>
        <v>33.550409793625377</v>
      </c>
      <c r="AE25" s="575">
        <f t="shared" si="2"/>
        <v>33.59649552136387</v>
      </c>
      <c r="AF25" s="575">
        <f t="shared" si="2"/>
        <v>33.642581249102378</v>
      </c>
      <c r="AG25" s="575">
        <f t="shared" si="2"/>
        <v>33.688666976840878</v>
      </c>
      <c r="AH25" s="575">
        <f t="shared" si="2"/>
        <v>33.734752704579364</v>
      </c>
      <c r="AI25" s="575">
        <f t="shared" si="2"/>
        <v>33.780838432317864</v>
      </c>
      <c r="AJ25" s="575">
        <f t="shared" si="2"/>
        <v>33.82692416005635</v>
      </c>
      <c r="AK25" s="575">
        <f t="shared" si="3"/>
        <v>33.873009887794851</v>
      </c>
      <c r="AL25" s="575">
        <f t="shared" si="3"/>
        <v>33.919095615533351</v>
      </c>
      <c r="AM25" s="575">
        <f t="shared" si="3"/>
        <v>33.965181343271844</v>
      </c>
      <c r="AN25" s="575">
        <f t="shared" si="3"/>
        <v>34.011267071010337</v>
      </c>
      <c r="AO25" s="575">
        <f t="shared" si="3"/>
        <v>34.057352798748838</v>
      </c>
      <c r="AP25" s="575">
        <f t="shared" si="3"/>
        <v>34.103438526487338</v>
      </c>
      <c r="AQ25" s="575">
        <f t="shared" si="3"/>
        <v>34.149524254225838</v>
      </c>
      <c r="AR25" s="575">
        <f t="shared" si="3"/>
        <v>34.195609981964324</v>
      </c>
      <c r="AS25" s="575">
        <f t="shared" si="3"/>
        <v>34.241695709702832</v>
      </c>
      <c r="AT25" s="575">
        <f t="shared" si="3"/>
        <v>34.287781437441318</v>
      </c>
      <c r="AU25" s="575">
        <f t="shared" si="3"/>
        <v>34.333867165179825</v>
      </c>
      <c r="AV25" s="619"/>
      <c r="AW25" s="619"/>
      <c r="AX25" s="619"/>
      <c r="AY25" s="619"/>
      <c r="AZ25" s="616"/>
      <c r="BA25" s="616"/>
      <c r="BB25" s="616"/>
      <c r="BC25" s="616"/>
      <c r="BD25" s="616"/>
      <c r="BE25" s="616"/>
      <c r="BF25" s="616"/>
      <c r="BG25" s="616">
        <v>0.46</v>
      </c>
      <c r="BH25" s="616">
        <v>0.54</v>
      </c>
      <c r="BI25" s="616"/>
      <c r="BJ25" s="616"/>
    </row>
    <row r="26" spans="2:62" ht="15">
      <c r="B26" s="10" t="str">
        <f>Processes!D8</f>
        <v>IMPWST</v>
      </c>
      <c r="C26" s="10" t="str">
        <f>Processes!E8</f>
        <v>Import technology - Waste</v>
      </c>
      <c r="D26" s="263"/>
      <c r="E26" s="263" t="str">
        <f>Commodities!D10</f>
        <v>WST</v>
      </c>
      <c r="F26" s="108" t="str">
        <f t="shared" si="4"/>
        <v>MKr14</v>
      </c>
      <c r="G26" s="575">
        <f t="shared" si="0"/>
        <v>1.5</v>
      </c>
      <c r="H26" s="575">
        <f t="shared" si="0"/>
        <v>1.5</v>
      </c>
      <c r="I26" s="575">
        <f t="shared" si="0"/>
        <v>1.5</v>
      </c>
      <c r="J26" s="575">
        <f t="shared" si="0"/>
        <v>1.5</v>
      </c>
      <c r="K26" s="575">
        <f t="shared" si="0"/>
        <v>1.5</v>
      </c>
      <c r="L26" s="575">
        <f t="shared" si="0"/>
        <v>1.5</v>
      </c>
      <c r="M26" s="575">
        <f t="shared" si="0"/>
        <v>1.5</v>
      </c>
      <c r="N26" s="575">
        <f t="shared" si="0"/>
        <v>1.5</v>
      </c>
      <c r="O26" s="575">
        <f t="shared" si="0"/>
        <v>1.5</v>
      </c>
      <c r="P26" s="575">
        <f t="shared" si="0"/>
        <v>1.5</v>
      </c>
      <c r="Q26" s="575">
        <f t="shared" si="1"/>
        <v>1.5</v>
      </c>
      <c r="R26" s="575">
        <f t="shared" si="1"/>
        <v>1.5</v>
      </c>
      <c r="S26" s="575">
        <f t="shared" si="1"/>
        <v>1.5</v>
      </c>
      <c r="T26" s="575">
        <f t="shared" si="1"/>
        <v>1.5</v>
      </c>
      <c r="U26" s="575">
        <f t="shared" si="1"/>
        <v>1.5</v>
      </c>
      <c r="V26" s="575">
        <f t="shared" si="1"/>
        <v>1.5</v>
      </c>
      <c r="W26" s="575">
        <f t="shared" si="1"/>
        <v>1.5</v>
      </c>
      <c r="X26" s="575">
        <f t="shared" si="1"/>
        <v>1.5</v>
      </c>
      <c r="Y26" s="575">
        <f t="shared" si="1"/>
        <v>1.5</v>
      </c>
      <c r="Z26" s="575">
        <f t="shared" si="1"/>
        <v>1.5</v>
      </c>
      <c r="AA26" s="575">
        <f t="shared" si="2"/>
        <v>1.5</v>
      </c>
      <c r="AB26" s="575">
        <f t="shared" si="2"/>
        <v>1.5</v>
      </c>
      <c r="AC26" s="575">
        <f t="shared" si="2"/>
        <v>1.5</v>
      </c>
      <c r="AD26" s="575">
        <f t="shared" si="2"/>
        <v>1.5</v>
      </c>
      <c r="AE26" s="575">
        <f t="shared" si="2"/>
        <v>1.5</v>
      </c>
      <c r="AF26" s="575">
        <f t="shared" si="2"/>
        <v>1.5</v>
      </c>
      <c r="AG26" s="575">
        <f t="shared" si="2"/>
        <v>1.5</v>
      </c>
      <c r="AH26" s="575">
        <f t="shared" si="2"/>
        <v>1.5</v>
      </c>
      <c r="AI26" s="575">
        <f t="shared" si="2"/>
        <v>1.5</v>
      </c>
      <c r="AJ26" s="575">
        <f t="shared" si="2"/>
        <v>1.5</v>
      </c>
      <c r="AK26" s="575">
        <f t="shared" si="3"/>
        <v>1.5</v>
      </c>
      <c r="AL26" s="575">
        <f t="shared" si="3"/>
        <v>1.5</v>
      </c>
      <c r="AM26" s="575">
        <f t="shared" si="3"/>
        <v>1.5</v>
      </c>
      <c r="AN26" s="575">
        <f t="shared" si="3"/>
        <v>1.5</v>
      </c>
      <c r="AO26" s="575">
        <f t="shared" si="3"/>
        <v>1.5</v>
      </c>
      <c r="AP26" s="575">
        <f t="shared" si="3"/>
        <v>1.5</v>
      </c>
      <c r="AQ26" s="575">
        <f t="shared" si="3"/>
        <v>1.5</v>
      </c>
      <c r="AR26" s="575">
        <f t="shared" si="3"/>
        <v>1.5</v>
      </c>
      <c r="AS26" s="575">
        <f t="shared" si="3"/>
        <v>1.5</v>
      </c>
      <c r="AT26" s="575">
        <f t="shared" si="3"/>
        <v>1.5</v>
      </c>
      <c r="AU26" s="575">
        <f t="shared" si="3"/>
        <v>1.5</v>
      </c>
      <c r="AV26" s="619"/>
      <c r="AW26" s="619"/>
      <c r="AX26" s="619"/>
      <c r="AY26" s="619"/>
      <c r="AZ26" s="616"/>
      <c r="BA26" s="616"/>
      <c r="BB26" s="616"/>
      <c r="BC26" s="616"/>
      <c r="BD26" s="616"/>
      <c r="BE26" s="616"/>
      <c r="BF26" s="616"/>
      <c r="BG26" s="616"/>
      <c r="BH26" s="616"/>
      <c r="BI26" s="616"/>
      <c r="BJ26" s="616"/>
    </row>
    <row r="27" spans="2:62" ht="15">
      <c r="B27" s="10" t="str">
        <f>Processes!D9</f>
        <v>IMPSTR</v>
      </c>
      <c r="C27" s="10" t="str">
        <f>Processes!E9</f>
        <v>Import technology - Straw</v>
      </c>
      <c r="D27" s="263"/>
      <c r="E27" s="263" t="str">
        <f>Commodities!D11</f>
        <v>STR</v>
      </c>
      <c r="F27" s="108" t="str">
        <f t="shared" si="4"/>
        <v>MKr19</v>
      </c>
      <c r="G27" s="575">
        <f t="shared" si="0"/>
        <v>41.5</v>
      </c>
      <c r="H27" s="575">
        <f t="shared" si="0"/>
        <v>41.5</v>
      </c>
      <c r="I27" s="575">
        <f t="shared" si="0"/>
        <v>41.5</v>
      </c>
      <c r="J27" s="575">
        <f t="shared" si="0"/>
        <v>41.2</v>
      </c>
      <c r="K27" s="575">
        <f t="shared" si="0"/>
        <v>40.799999999999997</v>
      </c>
      <c r="L27" s="575">
        <f t="shared" si="0"/>
        <v>40.5</v>
      </c>
      <c r="M27" s="575">
        <f t="shared" si="0"/>
        <v>40.9</v>
      </c>
      <c r="N27" s="575">
        <f t="shared" si="0"/>
        <v>41.4</v>
      </c>
      <c r="O27" s="575">
        <f t="shared" si="0"/>
        <v>41.634898055339931</v>
      </c>
      <c r="P27" s="575">
        <f t="shared" si="0"/>
        <v>41.634898055339931</v>
      </c>
      <c r="Q27" s="575">
        <f t="shared" si="1"/>
        <v>41.962449107096752</v>
      </c>
      <c r="R27" s="575">
        <f t="shared" si="1"/>
        <v>42.37591413450582</v>
      </c>
      <c r="S27" s="575">
        <f t="shared" si="1"/>
        <v>42.791201303703261</v>
      </c>
      <c r="T27" s="575">
        <f t="shared" si="1"/>
        <v>43.208184541451871</v>
      </c>
      <c r="U27" s="575">
        <f t="shared" si="1"/>
        <v>43.626739530646304</v>
      </c>
      <c r="V27" s="575">
        <f t="shared" si="1"/>
        <v>44.046743692103149</v>
      </c>
      <c r="W27" s="575">
        <f t="shared" si="1"/>
        <v>44.303492323512977</v>
      </c>
      <c r="X27" s="575">
        <f t="shared" si="1"/>
        <v>44.56044844066794</v>
      </c>
      <c r="Y27" s="575">
        <f t="shared" si="1"/>
        <v>44.817607952103295</v>
      </c>
      <c r="Z27" s="575">
        <f t="shared" si="1"/>
        <v>45.074966809344929</v>
      </c>
      <c r="AA27" s="575">
        <f t="shared" si="2"/>
        <v>45.332521006394593</v>
      </c>
      <c r="AB27" s="575">
        <f t="shared" si="2"/>
        <v>45.549544275390517</v>
      </c>
      <c r="AC27" s="575">
        <f t="shared" si="2"/>
        <v>45.766845997017583</v>
      </c>
      <c r="AD27" s="575">
        <f t="shared" si="2"/>
        <v>45.93621057509371</v>
      </c>
      <c r="AE27" s="575">
        <f t="shared" si="2"/>
        <v>46.091987325464736</v>
      </c>
      <c r="AF27" s="575">
        <f t="shared" si="2"/>
        <v>46.247727566987081</v>
      </c>
      <c r="AG27" s="575">
        <f t="shared" si="2"/>
        <v>46.390503884981669</v>
      </c>
      <c r="AH27" s="575">
        <f t="shared" si="2"/>
        <v>46.533237561648519</v>
      </c>
      <c r="AI27" s="575">
        <f t="shared" si="2"/>
        <v>46.675927978934773</v>
      </c>
      <c r="AJ27" s="575">
        <f t="shared" si="2"/>
        <v>46.818574524689666</v>
      </c>
      <c r="AK27" s="575">
        <f t="shared" si="3"/>
        <v>46.961176592602918</v>
      </c>
      <c r="AL27" s="575">
        <f t="shared" si="3"/>
        <v>46.961176592602918</v>
      </c>
      <c r="AM27" s="575">
        <f t="shared" si="3"/>
        <v>46.961176592602918</v>
      </c>
      <c r="AN27" s="575">
        <f t="shared" si="3"/>
        <v>46.961176592602918</v>
      </c>
      <c r="AO27" s="575">
        <f t="shared" si="3"/>
        <v>46.961176592602918</v>
      </c>
      <c r="AP27" s="575">
        <f t="shared" si="3"/>
        <v>46.961176592602918</v>
      </c>
      <c r="AQ27" s="575">
        <f t="shared" si="3"/>
        <v>46.961176592602918</v>
      </c>
      <c r="AR27" s="575">
        <f t="shared" si="3"/>
        <v>46.961176592602918</v>
      </c>
      <c r="AS27" s="575">
        <f t="shared" si="3"/>
        <v>46.961176592602918</v>
      </c>
      <c r="AT27" s="575">
        <f t="shared" si="3"/>
        <v>46.961176592602918</v>
      </c>
      <c r="AU27" s="575">
        <f t="shared" si="3"/>
        <v>46.961176592602918</v>
      </c>
      <c r="AV27" s="619"/>
      <c r="AW27" s="619"/>
      <c r="AX27" s="619"/>
      <c r="AY27" s="619"/>
      <c r="AZ27" s="616"/>
      <c r="BA27" s="616"/>
      <c r="BB27" s="616"/>
      <c r="BC27" s="616"/>
      <c r="BD27" s="616"/>
      <c r="BE27" s="616"/>
      <c r="BF27" s="616"/>
      <c r="BG27" s="616"/>
      <c r="BH27" s="616"/>
      <c r="BI27" s="616"/>
      <c r="BJ27" s="616"/>
    </row>
    <row r="28" spans="2:62" ht="15">
      <c r="B28" s="10" t="str">
        <f>Processes!D10</f>
        <v>IMPHFO</v>
      </c>
      <c r="C28" s="10" t="str">
        <f>Processes!E10</f>
        <v>Import technology - Heavy Fuel Oil</v>
      </c>
      <c r="D28" s="263"/>
      <c r="E28" s="263" t="str">
        <f>Commodities!D30</f>
        <v>HFO</v>
      </c>
      <c r="F28" s="108" t="str">
        <f t="shared" si="4"/>
        <v>MKr19</v>
      </c>
      <c r="G28" s="575">
        <f t="shared" si="0"/>
        <v>68.2</v>
      </c>
      <c r="H28" s="575">
        <f t="shared" si="0"/>
        <v>102</v>
      </c>
      <c r="I28" s="575">
        <f t="shared" si="0"/>
        <v>96.2</v>
      </c>
      <c r="J28" s="575">
        <f t="shared" si="0"/>
        <v>91.7</v>
      </c>
      <c r="K28" s="575">
        <f t="shared" si="0"/>
        <v>84</v>
      </c>
      <c r="L28" s="575">
        <f t="shared" si="0"/>
        <v>47.5</v>
      </c>
      <c r="M28" s="575">
        <f t="shared" si="0"/>
        <v>44.5</v>
      </c>
      <c r="N28" s="575">
        <f t="shared" si="0"/>
        <v>48.7</v>
      </c>
      <c r="O28" s="575">
        <f t="shared" si="0"/>
        <v>67.735141438725293</v>
      </c>
      <c r="P28" s="575">
        <f t="shared" si="0"/>
        <v>61.821029259474152</v>
      </c>
      <c r="Q28" s="575">
        <f t="shared" si="1"/>
        <v>60.341090730548601</v>
      </c>
      <c r="R28" s="575">
        <f t="shared" si="1"/>
        <v>38.35700531918522</v>
      </c>
      <c r="S28" s="575">
        <f t="shared" si="1"/>
        <v>41.765504189889249</v>
      </c>
      <c r="T28" s="575">
        <f t="shared" si="1"/>
        <v>44.088588085044584</v>
      </c>
      <c r="U28" s="575">
        <f t="shared" si="1"/>
        <v>45.786797230009718</v>
      </c>
      <c r="V28" s="575">
        <f t="shared" si="1"/>
        <v>47.023275056537912</v>
      </c>
      <c r="W28" s="575">
        <f t="shared" si="1"/>
        <v>48.388738394847046</v>
      </c>
      <c r="X28" s="575">
        <f t="shared" si="1"/>
        <v>49.726877161691675</v>
      </c>
      <c r="Y28" s="575">
        <f t="shared" si="1"/>
        <v>50.957998458731836</v>
      </c>
      <c r="Z28" s="575">
        <f t="shared" si="1"/>
        <v>52.250750345664912</v>
      </c>
      <c r="AA28" s="575">
        <f t="shared" si="2"/>
        <v>53.473940246602353</v>
      </c>
      <c r="AB28" s="575">
        <f t="shared" si="2"/>
        <v>53.16779648439951</v>
      </c>
      <c r="AC28" s="575">
        <f t="shared" si="2"/>
        <v>52.860920537900107</v>
      </c>
      <c r="AD28" s="575">
        <f t="shared" si="2"/>
        <v>52.55531163017308</v>
      </c>
      <c r="AE28" s="575">
        <f t="shared" si="2"/>
        <v>52.248935125159633</v>
      </c>
      <c r="AF28" s="575">
        <f t="shared" si="2"/>
        <v>51.942655316610988</v>
      </c>
      <c r="AG28" s="575">
        <f t="shared" si="2"/>
        <v>51.635449629385747</v>
      </c>
      <c r="AH28" s="575">
        <f t="shared" si="2"/>
        <v>51.329326521277956</v>
      </c>
      <c r="AI28" s="575">
        <f t="shared" si="2"/>
        <v>51.022472936959623</v>
      </c>
      <c r="AJ28" s="575">
        <f t="shared" si="2"/>
        <v>50.716548190274779</v>
      </c>
      <c r="AK28" s="575">
        <f t="shared" si="3"/>
        <v>50.410321566782294</v>
      </c>
      <c r="AL28" s="575">
        <f t="shared" si="3"/>
        <v>50.104095447614391</v>
      </c>
      <c r="AM28" s="575">
        <f t="shared" si="3"/>
        <v>49.801029647621633</v>
      </c>
      <c r="AN28" s="575">
        <f t="shared" si="3"/>
        <v>49.497969590083216</v>
      </c>
      <c r="AO28" s="575">
        <f t="shared" si="3"/>
        <v>49.19491528234127</v>
      </c>
      <c r="AP28" s="575">
        <f t="shared" si="3"/>
        <v>48.89186673174725</v>
      </c>
      <c r="AQ28" s="575">
        <f t="shared" si="3"/>
        <v>48.588823945662064</v>
      </c>
      <c r="AR28" s="575">
        <f t="shared" si="3"/>
        <v>48.285786931455988</v>
      </c>
      <c r="AS28" s="575">
        <f t="shared" si="3"/>
        <v>47.982755696508768</v>
      </c>
      <c r="AT28" s="575">
        <f t="shared" si="3"/>
        <v>47.679730248209545</v>
      </c>
      <c r="AU28" s="575">
        <f t="shared" si="3"/>
        <v>47.376710593956936</v>
      </c>
      <c r="AV28" s="620">
        <v>43.148000000000003</v>
      </c>
      <c r="AW28" s="620">
        <v>50.652000000000001</v>
      </c>
      <c r="AX28" s="620">
        <v>46</v>
      </c>
      <c r="AY28" s="620">
        <v>54</v>
      </c>
      <c r="AZ28" s="620">
        <v>42.826000000000001</v>
      </c>
      <c r="BA28" s="620">
        <v>50.274000000000001</v>
      </c>
      <c r="BB28" s="620">
        <f>145.279687*BG25</f>
        <v>66.828656019999997</v>
      </c>
      <c r="BC28" s="620">
        <f>145.279687*BH25</f>
        <v>78.451030979999999</v>
      </c>
      <c r="BD28" s="616">
        <v>4</v>
      </c>
      <c r="BE28" s="616"/>
      <c r="BF28" s="616"/>
      <c r="BG28" s="616"/>
      <c r="BH28" s="616"/>
      <c r="BI28" s="616"/>
      <c r="BJ28" s="616"/>
    </row>
    <row r="29" spans="2:62" ht="15">
      <c r="B29" s="10" t="str">
        <f>Processes!D11</f>
        <v>IMPDSL</v>
      </c>
      <c r="C29" s="10" t="str">
        <f>Processes!E11</f>
        <v>Import technology - Diesel</v>
      </c>
      <c r="D29" s="263"/>
      <c r="E29" s="263" t="str">
        <f>Commodities!D29</f>
        <v>DSL</v>
      </c>
      <c r="F29" s="108" t="str">
        <f t="shared" si="4"/>
        <v>MKr19</v>
      </c>
      <c r="G29" s="575">
        <f t="shared" si="0"/>
        <v>105.4</v>
      </c>
      <c r="H29" s="575">
        <f t="shared" si="0"/>
        <v>117.4</v>
      </c>
      <c r="I29" s="575">
        <f t="shared" si="0"/>
        <v>134.19999999999999</v>
      </c>
      <c r="J29" s="575">
        <f t="shared" si="0"/>
        <v>123.2</v>
      </c>
      <c r="K29" s="575">
        <f t="shared" si="0"/>
        <v>113.5</v>
      </c>
      <c r="L29" s="575">
        <f t="shared" si="0"/>
        <v>77</v>
      </c>
      <c r="M29" s="575">
        <f t="shared" si="0"/>
        <v>74</v>
      </c>
      <c r="N29" s="575">
        <f t="shared" si="0"/>
        <v>78.2</v>
      </c>
      <c r="O29" s="575">
        <f t="shared" si="0"/>
        <v>101.50107579472352</v>
      </c>
      <c r="P29" s="575">
        <f t="shared" si="0"/>
        <v>95.586963615472371</v>
      </c>
      <c r="Q29" s="575">
        <f t="shared" si="1"/>
        <v>94.107025086546813</v>
      </c>
      <c r="R29" s="575">
        <f t="shared" si="1"/>
        <v>72.122939675183432</v>
      </c>
      <c r="S29" s="575">
        <f t="shared" si="1"/>
        <v>75.531438545887454</v>
      </c>
      <c r="T29" s="575">
        <f t="shared" si="1"/>
        <v>77.854522441042789</v>
      </c>
      <c r="U29" s="575">
        <f t="shared" si="1"/>
        <v>79.552731586007937</v>
      </c>
      <c r="V29" s="575">
        <f t="shared" si="1"/>
        <v>80.789209412536124</v>
      </c>
      <c r="W29" s="575">
        <f t="shared" si="1"/>
        <v>82.154672750845265</v>
      </c>
      <c r="X29" s="575">
        <f t="shared" si="1"/>
        <v>83.492811517689887</v>
      </c>
      <c r="Y29" s="575">
        <f t="shared" si="1"/>
        <v>84.723932814730048</v>
      </c>
      <c r="Z29" s="575">
        <f t="shared" si="1"/>
        <v>86.016684701663124</v>
      </c>
      <c r="AA29" s="575">
        <f t="shared" si="2"/>
        <v>87.239874602600565</v>
      </c>
      <c r="AB29" s="575">
        <f t="shared" si="2"/>
        <v>86.933730840397715</v>
      </c>
      <c r="AC29" s="575">
        <f t="shared" si="2"/>
        <v>86.626854893898326</v>
      </c>
      <c r="AD29" s="575">
        <f t="shared" si="2"/>
        <v>86.321245986171292</v>
      </c>
      <c r="AE29" s="575">
        <f t="shared" si="2"/>
        <v>86.014869481157845</v>
      </c>
      <c r="AF29" s="575">
        <f t="shared" si="2"/>
        <v>85.708589672609207</v>
      </c>
      <c r="AG29" s="575">
        <f t="shared" si="2"/>
        <v>85.401383985383958</v>
      </c>
      <c r="AH29" s="575">
        <f t="shared" si="2"/>
        <v>85.095260877276161</v>
      </c>
      <c r="AI29" s="575">
        <f t="shared" si="2"/>
        <v>84.788407292957842</v>
      </c>
      <c r="AJ29" s="575">
        <f t="shared" si="2"/>
        <v>84.48248254627299</v>
      </c>
      <c r="AK29" s="575">
        <f t="shared" si="3"/>
        <v>84.176255922780513</v>
      </c>
      <c r="AL29" s="575">
        <f t="shared" si="3"/>
        <v>83.87002980361261</v>
      </c>
      <c r="AM29" s="575">
        <f t="shared" si="3"/>
        <v>83.566964003619859</v>
      </c>
      <c r="AN29" s="575">
        <f t="shared" si="3"/>
        <v>83.263903946081427</v>
      </c>
      <c r="AO29" s="575">
        <f t="shared" si="3"/>
        <v>82.960849638339482</v>
      </c>
      <c r="AP29" s="575">
        <f t="shared" si="3"/>
        <v>82.657801087745469</v>
      </c>
      <c r="AQ29" s="575">
        <f t="shared" si="3"/>
        <v>82.354758301660269</v>
      </c>
      <c r="AR29" s="575">
        <f t="shared" si="3"/>
        <v>82.0517212874542</v>
      </c>
      <c r="AS29" s="575">
        <f t="shared" si="3"/>
        <v>81.748690052506987</v>
      </c>
      <c r="AT29" s="575">
        <f t="shared" si="3"/>
        <v>81.445664604207764</v>
      </c>
      <c r="AU29" s="575">
        <f t="shared" si="3"/>
        <v>81.142644949955155</v>
      </c>
      <c r="AV29" s="620">
        <v>48.024000000000001</v>
      </c>
      <c r="AW29" s="620">
        <v>56.375999999999998</v>
      </c>
      <c r="AX29" s="620">
        <v>48.116</v>
      </c>
      <c r="AY29" s="620">
        <v>56.484000000000002</v>
      </c>
      <c r="AZ29" s="620">
        <v>47.011999999999993</v>
      </c>
      <c r="BA29" s="620">
        <v>55.187999999999995</v>
      </c>
      <c r="BB29" s="620">
        <f>120.706179*BG25</f>
        <v>55.524842340000006</v>
      </c>
      <c r="BC29" s="620">
        <f>120.706179*BH25</f>
        <v>65.181336660000014</v>
      </c>
      <c r="BD29" s="616">
        <v>4</v>
      </c>
      <c r="BE29" s="616"/>
      <c r="BF29" s="616"/>
      <c r="BG29" s="616"/>
      <c r="BH29" s="616"/>
      <c r="BI29" s="616"/>
      <c r="BJ29" s="616"/>
    </row>
    <row r="30" spans="2:62" ht="15">
      <c r="B30" s="10" t="str">
        <f>Processes!D12</f>
        <v>IMPBGA</v>
      </c>
      <c r="C30" s="10" t="str">
        <f>Processes!E12</f>
        <v>Import technology - Biogas</v>
      </c>
      <c r="D30" s="263"/>
      <c r="E30" s="263" t="str">
        <f>Commodities!D14</f>
        <v>BGA</v>
      </c>
      <c r="F30" s="108" t="str">
        <f t="shared" si="4"/>
        <v>MKr19</v>
      </c>
      <c r="G30" s="575">
        <f>IFERROR(INDEX($G$113:$AU$169,MATCH($E30,$E$113:$E$169,0),MATCH(G$23,$G$112:$AU$112,0)),0)</f>
        <v>177.6</v>
      </c>
      <c r="H30" s="575">
        <f t="shared" si="0"/>
        <v>184.4</v>
      </c>
      <c r="I30" s="575">
        <f t="shared" si="0"/>
        <v>220.4</v>
      </c>
      <c r="J30" s="575">
        <f t="shared" si="0"/>
        <v>216.8</v>
      </c>
      <c r="K30" s="575">
        <f t="shared" si="0"/>
        <v>182.8</v>
      </c>
      <c r="L30" s="575">
        <f t="shared" si="0"/>
        <v>176</v>
      </c>
      <c r="M30" s="575">
        <f t="shared" si="0"/>
        <v>147.19999999999999</v>
      </c>
      <c r="N30" s="575">
        <f t="shared" si="0"/>
        <v>147.6</v>
      </c>
      <c r="O30" s="575">
        <f t="shared" si="0"/>
        <v>213.68873352740101</v>
      </c>
      <c r="P30" s="575">
        <f t="shared" si="0"/>
        <v>137.04404496248185</v>
      </c>
      <c r="Q30" s="575">
        <f t="shared" si="1"/>
        <v>133.59139994592903</v>
      </c>
      <c r="R30" s="575">
        <f t="shared" si="1"/>
        <v>126.1011601017528</v>
      </c>
      <c r="S30" s="575">
        <f t="shared" si="1"/>
        <v>131.05019448616758</v>
      </c>
      <c r="T30" s="575">
        <f t="shared" si="1"/>
        <v>133.47075325150186</v>
      </c>
      <c r="U30" s="575">
        <f t="shared" si="1"/>
        <v>134.26849568144829</v>
      </c>
      <c r="V30" s="575">
        <f t="shared" si="1"/>
        <v>134.02433385165466</v>
      </c>
      <c r="W30" s="575">
        <f t="shared" si="1"/>
        <v>133.87055681721625</v>
      </c>
      <c r="X30" s="575">
        <f t="shared" si="1"/>
        <v>133.77178834492668</v>
      </c>
      <c r="Y30" s="575">
        <f t="shared" si="1"/>
        <v>133.68719836181384</v>
      </c>
      <c r="Z30" s="575">
        <f t="shared" si="1"/>
        <v>133.65688099208921</v>
      </c>
      <c r="AA30" s="575">
        <f t="shared" si="2"/>
        <v>133.64861044163953</v>
      </c>
      <c r="AB30" s="575">
        <f t="shared" si="2"/>
        <v>133.83295335259353</v>
      </c>
      <c r="AC30" s="575">
        <f t="shared" si="2"/>
        <v>134.01729626354754</v>
      </c>
      <c r="AD30" s="575">
        <f t="shared" si="2"/>
        <v>134.20163917450151</v>
      </c>
      <c r="AE30" s="575">
        <f t="shared" si="2"/>
        <v>134.38598208545548</v>
      </c>
      <c r="AF30" s="575">
        <f t="shared" si="2"/>
        <v>134.57032499640951</v>
      </c>
      <c r="AG30" s="575">
        <f t="shared" si="2"/>
        <v>134.75466790736351</v>
      </c>
      <c r="AH30" s="575">
        <f t="shared" si="2"/>
        <v>134.93901081831746</v>
      </c>
      <c r="AI30" s="575">
        <f t="shared" si="2"/>
        <v>135.12335372927146</v>
      </c>
      <c r="AJ30" s="575">
        <f t="shared" si="2"/>
        <v>135.3076966402254</v>
      </c>
      <c r="AK30" s="575">
        <f t="shared" si="3"/>
        <v>135.4920395511794</v>
      </c>
      <c r="AL30" s="575">
        <f t="shared" si="3"/>
        <v>135.6763824621334</v>
      </c>
      <c r="AM30" s="575">
        <f t="shared" si="3"/>
        <v>135.86072537308738</v>
      </c>
      <c r="AN30" s="575">
        <f t="shared" si="3"/>
        <v>136.04506828404135</v>
      </c>
      <c r="AO30" s="575">
        <f t="shared" si="3"/>
        <v>136.22941119499535</v>
      </c>
      <c r="AP30" s="575">
        <f t="shared" si="3"/>
        <v>136.41375410594935</v>
      </c>
      <c r="AQ30" s="575">
        <f t="shared" si="3"/>
        <v>136.59809701690335</v>
      </c>
      <c r="AR30" s="575">
        <f t="shared" si="3"/>
        <v>136.7824399278573</v>
      </c>
      <c r="AS30" s="575">
        <f t="shared" si="3"/>
        <v>136.96678283881133</v>
      </c>
      <c r="AT30" s="575">
        <f t="shared" si="3"/>
        <v>137.15112574976527</v>
      </c>
      <c r="AU30" s="575">
        <f t="shared" si="3"/>
        <v>137.3354686607193</v>
      </c>
      <c r="AV30" s="621"/>
      <c r="AW30" s="621"/>
      <c r="AX30" s="621"/>
      <c r="AY30" s="621"/>
      <c r="AZ30" s="616"/>
      <c r="BA30" s="616"/>
      <c r="BB30" s="616"/>
      <c r="BC30" s="616"/>
      <c r="BD30" s="616"/>
      <c r="BE30" s="616"/>
      <c r="BF30" s="616"/>
      <c r="BG30" s="616"/>
      <c r="BH30" s="616"/>
      <c r="BI30" s="616"/>
      <c r="BJ30" s="616"/>
    </row>
    <row r="31" spans="2:62" ht="15">
      <c r="B31" s="10" t="str">
        <f>Processes!D13</f>
        <v>IMPWIN</v>
      </c>
      <c r="C31" s="10" t="str">
        <f>Processes!E13</f>
        <v>Import technology - Wind</v>
      </c>
      <c r="D31" s="263"/>
      <c r="E31" s="263" t="str">
        <f>Commodities!D15</f>
        <v>WIN</v>
      </c>
      <c r="F31" s="578" t="s">
        <v>1113</v>
      </c>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621"/>
      <c r="AW31" s="621"/>
      <c r="AX31" s="621"/>
      <c r="AY31" s="621"/>
      <c r="AZ31" s="616"/>
      <c r="BA31" s="616"/>
      <c r="BB31" s="616"/>
      <c r="BC31" s="616"/>
      <c r="BD31" s="616"/>
      <c r="BE31" s="616"/>
      <c r="BF31" s="616"/>
      <c r="BG31" s="616"/>
      <c r="BH31" s="616"/>
      <c r="BI31" s="616"/>
      <c r="BJ31" s="616"/>
    </row>
    <row r="32" spans="2:62" ht="15">
      <c r="B32" s="10" t="str">
        <f>Processes!D14</f>
        <v>IMPHYD</v>
      </c>
      <c r="C32" s="10" t="str">
        <f>Processes!E14</f>
        <v>Import technology - Hydro</v>
      </c>
      <c r="D32" s="263"/>
      <c r="E32" s="263" t="str">
        <f>Commodities!D16</f>
        <v>HYD</v>
      </c>
      <c r="F32" s="578" t="s">
        <v>1113</v>
      </c>
      <c r="G32" s="260"/>
      <c r="H32" s="260"/>
      <c r="I32" s="260"/>
      <c r="J32" s="260"/>
      <c r="K32" s="260"/>
      <c r="L32" s="260"/>
      <c r="M32" s="260"/>
      <c r="N32" s="260"/>
      <c r="O32" s="260"/>
      <c r="P32" s="260"/>
      <c r="Q32" s="260"/>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621"/>
      <c r="AW32" s="621"/>
      <c r="AX32" s="621"/>
      <c r="AY32" s="621"/>
      <c r="AZ32" s="616"/>
      <c r="BA32" s="616"/>
      <c r="BB32" s="616"/>
      <c r="BC32" s="616"/>
      <c r="BD32" s="616"/>
      <c r="BE32" s="616"/>
      <c r="BF32" s="616"/>
      <c r="BG32" s="616"/>
      <c r="BH32" s="616"/>
      <c r="BI32" s="616"/>
      <c r="BJ32" s="616"/>
    </row>
    <row r="33" spans="2:66" ht="15">
      <c r="B33" s="10" t="str">
        <f>Processes!D15</f>
        <v>IMPSOL</v>
      </c>
      <c r="C33" s="10" t="str">
        <f>Processes!E15</f>
        <v>Import technology - Solar</v>
      </c>
      <c r="D33" s="263"/>
      <c r="E33" s="263" t="str">
        <f>Commodities!D17</f>
        <v>SOL</v>
      </c>
      <c r="F33" s="578" t="s">
        <v>1113</v>
      </c>
      <c r="G33" s="260"/>
      <c r="H33" s="260"/>
      <c r="I33" s="260"/>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621"/>
      <c r="AW33" s="621"/>
      <c r="AX33" s="621"/>
      <c r="AY33" s="621"/>
      <c r="AZ33" s="616"/>
      <c r="BA33" s="616"/>
      <c r="BB33" s="616"/>
      <c r="BC33" s="616"/>
      <c r="BD33" s="616"/>
      <c r="BE33" s="616"/>
      <c r="BF33" s="616"/>
      <c r="BG33" s="616"/>
      <c r="BH33" s="616"/>
      <c r="BI33" s="616"/>
      <c r="BJ33" s="616"/>
    </row>
    <row r="34" spans="2:66" ht="15">
      <c r="B34" s="10" t="str">
        <f>Processes!D16</f>
        <v>IMPGEO</v>
      </c>
      <c r="C34" s="10" t="str">
        <f>Processes!E16</f>
        <v>Import technology - Geothermal</v>
      </c>
      <c r="D34" s="263"/>
      <c r="E34" s="263" t="str">
        <f>Commodities!D18</f>
        <v>GEO</v>
      </c>
      <c r="F34" s="578" t="s">
        <v>1113</v>
      </c>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621"/>
      <c r="AW34" s="621"/>
      <c r="AX34" s="621"/>
      <c r="AY34" s="621"/>
      <c r="AZ34" s="616"/>
      <c r="BA34" s="616"/>
      <c r="BB34" s="616"/>
      <c r="BC34" s="616"/>
      <c r="BD34" s="616"/>
      <c r="BE34" s="616"/>
      <c r="BF34" s="616"/>
      <c r="BG34" s="616"/>
      <c r="BH34" s="616"/>
      <c r="BI34" s="616"/>
      <c r="BJ34" s="616"/>
    </row>
    <row r="35" spans="2:66" s="490" customFormat="1" ht="15">
      <c r="B35" s="10" t="str">
        <f>Processes!D17</f>
        <v>IMPWAV</v>
      </c>
      <c r="C35" s="10" t="str">
        <f>Processes!E17</f>
        <v>Import technology - Wave</v>
      </c>
      <c r="D35" s="263"/>
      <c r="E35" s="263" t="str">
        <f>Commodities!D19</f>
        <v>WAV</v>
      </c>
      <c r="F35" s="578" t="s">
        <v>1113</v>
      </c>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621"/>
      <c r="AW35" s="621"/>
      <c r="AX35" s="621"/>
      <c r="AY35" s="621"/>
      <c r="AZ35" s="616"/>
      <c r="BA35" s="616"/>
      <c r="BB35" s="616"/>
      <c r="BC35" s="616"/>
      <c r="BD35" s="616"/>
      <c r="BE35" s="616"/>
      <c r="BF35" s="616"/>
      <c r="BG35" s="616"/>
      <c r="BH35" s="616"/>
      <c r="BI35" s="616"/>
      <c r="BJ35" s="616"/>
    </row>
    <row r="36" spans="2:66" ht="15">
      <c r="B36" s="10" t="str">
        <f>Processes!D18</f>
        <v>IMPWPE</v>
      </c>
      <c r="C36" s="10" t="str">
        <f>Processes!E18</f>
        <v>Import technology - Wood pellets</v>
      </c>
      <c r="D36" s="263"/>
      <c r="E36" s="263" t="str">
        <f>Commodities!D20</f>
        <v>WPE</v>
      </c>
      <c r="F36" s="108" t="str">
        <f t="shared" si="4"/>
        <v>MKr19</v>
      </c>
      <c r="G36" s="575">
        <f t="shared" ref="G36:P45" si="5">IFERROR(INDEX($G$113:$AU$169,MATCH($E36,$E$113:$E$169,0),MATCH(G$23,$G$112:$AU$112,0)),0)</f>
        <v>73.7</v>
      </c>
      <c r="H36" s="575">
        <f t="shared" si="5"/>
        <v>73.7</v>
      </c>
      <c r="I36" s="575">
        <f t="shared" si="5"/>
        <v>73.7</v>
      </c>
      <c r="J36" s="575">
        <f t="shared" si="5"/>
        <v>72.7</v>
      </c>
      <c r="K36" s="575">
        <f t="shared" si="5"/>
        <v>71.8</v>
      </c>
      <c r="L36" s="575">
        <f t="shared" si="5"/>
        <v>70.8</v>
      </c>
      <c r="M36" s="575">
        <f t="shared" si="5"/>
        <v>71.2</v>
      </c>
      <c r="N36" s="575">
        <f t="shared" si="5"/>
        <v>71.599999999999994</v>
      </c>
      <c r="O36" s="575">
        <f t="shared" si="5"/>
        <v>69.494890781791952</v>
      </c>
      <c r="P36" s="575">
        <f t="shared" si="5"/>
        <v>79.702433091587693</v>
      </c>
      <c r="Q36" s="575">
        <f t="shared" ref="Q36:Z45" si="6">IFERROR(INDEX($G$113:$AU$169,MATCH($E36,$E$113:$E$169,0),MATCH(Q$23,$G$112:$AU$112,0)),0)</f>
        <v>70.05883849089301</v>
      </c>
      <c r="R36" s="575">
        <f t="shared" si="6"/>
        <v>72.96988813207048</v>
      </c>
      <c r="S36" s="575">
        <f t="shared" si="6"/>
        <v>73.266464764716645</v>
      </c>
      <c r="T36" s="575">
        <f t="shared" si="6"/>
        <v>72.556552851440529</v>
      </c>
      <c r="U36" s="575">
        <f t="shared" si="6"/>
        <v>72.210497880380103</v>
      </c>
      <c r="V36" s="575">
        <f t="shared" si="6"/>
        <v>71.898055834432554</v>
      </c>
      <c r="W36" s="575">
        <f t="shared" si="6"/>
        <v>71.654987558314588</v>
      </c>
      <c r="X36" s="575">
        <f t="shared" si="6"/>
        <v>71.438770667888747</v>
      </c>
      <c r="Y36" s="575">
        <f t="shared" si="6"/>
        <v>71.247553781993901</v>
      </c>
      <c r="Z36" s="575">
        <f t="shared" si="6"/>
        <v>71.090380717662555</v>
      </c>
      <c r="AA36" s="575">
        <f t="shared" ref="AA36:AJ45" si="7">IFERROR(INDEX($G$113:$AU$169,MATCH($E36,$E$113:$E$169,0),MATCH(AA$23,$G$112:$AU$112,0)),0)</f>
        <v>70.954525432358807</v>
      </c>
      <c r="AB36" s="575">
        <f t="shared" si="7"/>
        <v>70.98353554352687</v>
      </c>
      <c r="AC36" s="575">
        <f t="shared" si="7"/>
        <v>71.012297087670845</v>
      </c>
      <c r="AD36" s="575">
        <f t="shared" si="7"/>
        <v>71.040811038704931</v>
      </c>
      <c r="AE36" s="575">
        <f t="shared" si="7"/>
        <v>71.069078333891227</v>
      </c>
      <c r="AF36" s="575">
        <f t="shared" si="7"/>
        <v>71.097099874290336</v>
      </c>
      <c r="AG36" s="575">
        <f t="shared" si="7"/>
        <v>71.116603103597413</v>
      </c>
      <c r="AH36" s="575">
        <f t="shared" si="7"/>
        <v>71.135883985569592</v>
      </c>
      <c r="AI36" s="575">
        <f t="shared" si="7"/>
        <v>71.154944080579142</v>
      </c>
      <c r="AJ36" s="575">
        <f t="shared" si="7"/>
        <v>71.173784903100966</v>
      </c>
      <c r="AK36" s="575">
        <f t="shared" ref="AK36:AU45" si="8">IFERROR(INDEX($G$113:$AU$169,MATCH($E36,$E$113:$E$169,0),MATCH(AK$23,$G$112:$AU$112,0)),0)</f>
        <v>71.192407922440651</v>
      </c>
      <c r="AL36" s="575">
        <f t="shared" si="8"/>
        <v>60.675957923099851</v>
      </c>
      <c r="AM36" s="575">
        <f t="shared" si="8"/>
        <v>60.68702193291076</v>
      </c>
      <c r="AN36" s="575">
        <f t="shared" si="8"/>
        <v>60.697960969252613</v>
      </c>
      <c r="AO36" s="575">
        <f t="shared" si="8"/>
        <v>60.70877659234629</v>
      </c>
      <c r="AP36" s="575">
        <f t="shared" si="8"/>
        <v>60.719470329291362</v>
      </c>
      <c r="AQ36" s="575">
        <f t="shared" si="8"/>
        <v>60.774302670903623</v>
      </c>
      <c r="AR36" s="575">
        <f t="shared" si="8"/>
        <v>60.828784329157571</v>
      </c>
      <c r="AS36" s="575">
        <f t="shared" si="8"/>
        <v>60.882916997101603</v>
      </c>
      <c r="AT36" s="575">
        <f t="shared" si="8"/>
        <v>60.936702331670006</v>
      </c>
      <c r="AU36" s="575">
        <f t="shared" si="8"/>
        <v>60.990141954059872</v>
      </c>
      <c r="AV36" s="621"/>
      <c r="AW36" s="621"/>
      <c r="AX36" s="621"/>
      <c r="AY36" s="621"/>
      <c r="AZ36" s="616"/>
      <c r="BA36" s="616"/>
      <c r="BB36" s="616"/>
      <c r="BC36" s="616"/>
      <c r="BD36" s="616"/>
      <c r="BE36" s="616"/>
      <c r="BF36" s="616"/>
      <c r="BG36" s="616"/>
      <c r="BH36" s="616"/>
      <c r="BI36" s="616"/>
      <c r="BJ36" s="616"/>
    </row>
    <row r="37" spans="2:66" s="576" customFormat="1" ht="15">
      <c r="B37" s="10" t="str">
        <f>Processes!D19</f>
        <v>IMPWPES</v>
      </c>
      <c r="C37" s="10" t="str">
        <f>Processes!E19</f>
        <v>Import technology - Sustainable Wood pellets</v>
      </c>
      <c r="D37" s="263"/>
      <c r="E37" s="263" t="str">
        <f>Commodities!D20</f>
        <v>WPE</v>
      </c>
      <c r="F37" s="108" t="str">
        <f t="shared" si="4"/>
        <v>MKr19</v>
      </c>
      <c r="G37" s="575">
        <f t="shared" si="5"/>
        <v>73.7</v>
      </c>
      <c r="H37" s="575">
        <f t="shared" si="5"/>
        <v>73.7</v>
      </c>
      <c r="I37" s="575">
        <f t="shared" si="5"/>
        <v>73.7</v>
      </c>
      <c r="J37" s="575">
        <f t="shared" si="5"/>
        <v>72.7</v>
      </c>
      <c r="K37" s="575">
        <f t="shared" si="5"/>
        <v>71.8</v>
      </c>
      <c r="L37" s="575">
        <f t="shared" si="5"/>
        <v>70.8</v>
      </c>
      <c r="M37" s="575">
        <f t="shared" si="5"/>
        <v>71.2</v>
      </c>
      <c r="N37" s="575">
        <f t="shared" si="5"/>
        <v>71.599999999999994</v>
      </c>
      <c r="O37" s="575">
        <f t="shared" si="5"/>
        <v>69.494890781791952</v>
      </c>
      <c r="P37" s="575">
        <f t="shared" si="5"/>
        <v>79.702433091587693</v>
      </c>
      <c r="Q37" s="575">
        <f t="shared" si="6"/>
        <v>70.05883849089301</v>
      </c>
      <c r="R37" s="575">
        <f t="shared" si="6"/>
        <v>72.96988813207048</v>
      </c>
      <c r="S37" s="575">
        <f t="shared" si="6"/>
        <v>73.266464764716645</v>
      </c>
      <c r="T37" s="575">
        <f t="shared" si="6"/>
        <v>72.556552851440529</v>
      </c>
      <c r="U37" s="575">
        <f t="shared" si="6"/>
        <v>72.210497880380103</v>
      </c>
      <c r="V37" s="575">
        <f t="shared" si="6"/>
        <v>71.898055834432554</v>
      </c>
      <c r="W37" s="575">
        <f t="shared" si="6"/>
        <v>71.654987558314588</v>
      </c>
      <c r="X37" s="575">
        <f t="shared" si="6"/>
        <v>71.438770667888747</v>
      </c>
      <c r="Y37" s="575">
        <f t="shared" si="6"/>
        <v>71.247553781993901</v>
      </c>
      <c r="Z37" s="575">
        <f t="shared" si="6"/>
        <v>71.090380717662555</v>
      </c>
      <c r="AA37" s="575">
        <f t="shared" si="7"/>
        <v>70.954525432358807</v>
      </c>
      <c r="AB37" s="575">
        <f t="shared" si="7"/>
        <v>70.98353554352687</v>
      </c>
      <c r="AC37" s="575">
        <f t="shared" si="7"/>
        <v>71.012297087670845</v>
      </c>
      <c r="AD37" s="575">
        <f t="shared" si="7"/>
        <v>71.040811038704931</v>
      </c>
      <c r="AE37" s="575">
        <f t="shared" si="7"/>
        <v>71.069078333891227</v>
      </c>
      <c r="AF37" s="575">
        <f t="shared" si="7"/>
        <v>71.097099874290336</v>
      </c>
      <c r="AG37" s="575">
        <f t="shared" si="7"/>
        <v>71.116603103597413</v>
      </c>
      <c r="AH37" s="575">
        <f t="shared" si="7"/>
        <v>71.135883985569592</v>
      </c>
      <c r="AI37" s="575">
        <f t="shared" si="7"/>
        <v>71.154944080579142</v>
      </c>
      <c r="AJ37" s="575">
        <f t="shared" si="7"/>
        <v>71.173784903100966</v>
      </c>
      <c r="AK37" s="575">
        <f t="shared" si="8"/>
        <v>71.192407922440651</v>
      </c>
      <c r="AL37" s="575">
        <f t="shared" si="8"/>
        <v>60.675957923099851</v>
      </c>
      <c r="AM37" s="575">
        <f t="shared" si="8"/>
        <v>60.68702193291076</v>
      </c>
      <c r="AN37" s="575">
        <f t="shared" si="8"/>
        <v>60.697960969252613</v>
      </c>
      <c r="AO37" s="575">
        <f t="shared" si="8"/>
        <v>60.70877659234629</v>
      </c>
      <c r="AP37" s="575">
        <f t="shared" si="8"/>
        <v>60.719470329291362</v>
      </c>
      <c r="AQ37" s="575">
        <f t="shared" si="8"/>
        <v>60.774302670903623</v>
      </c>
      <c r="AR37" s="575">
        <f t="shared" si="8"/>
        <v>60.828784329157571</v>
      </c>
      <c r="AS37" s="575">
        <f t="shared" si="8"/>
        <v>60.882916997101603</v>
      </c>
      <c r="AT37" s="575">
        <f t="shared" si="8"/>
        <v>60.936702331670006</v>
      </c>
      <c r="AU37" s="575">
        <f t="shared" si="8"/>
        <v>60.990141954059872</v>
      </c>
      <c r="AV37" s="621"/>
      <c r="AW37" s="621"/>
      <c r="AX37" s="621"/>
      <c r="AY37" s="621"/>
      <c r="AZ37" s="616"/>
      <c r="BA37" s="616"/>
      <c r="BB37" s="616"/>
      <c r="BC37" s="616"/>
      <c r="BD37" s="616"/>
      <c r="BE37" s="616"/>
      <c r="BF37" s="616"/>
      <c r="BG37" s="616"/>
      <c r="BH37" s="616"/>
      <c r="BI37" s="616"/>
      <c r="BJ37" s="616"/>
    </row>
    <row r="38" spans="2:66" s="1" customFormat="1" ht="15">
      <c r="B38" s="10" t="str">
        <f>Processes!D20</f>
        <v>IMPWCH</v>
      </c>
      <c r="C38" s="10" t="str">
        <f>Processes!E20</f>
        <v>Import technology - Wood chips and wood waste</v>
      </c>
      <c r="D38" s="263"/>
      <c r="E38" s="263" t="str">
        <f>Commodities!D21</f>
        <v>WCH</v>
      </c>
      <c r="F38" s="108" t="str">
        <f t="shared" si="4"/>
        <v>MKr19</v>
      </c>
      <c r="G38" s="575">
        <f t="shared" si="5"/>
        <v>46</v>
      </c>
      <c r="H38" s="575">
        <f t="shared" si="5"/>
        <v>46</v>
      </c>
      <c r="I38" s="575">
        <f t="shared" si="5"/>
        <v>46</v>
      </c>
      <c r="J38" s="575">
        <f t="shared" si="5"/>
        <v>45.7</v>
      </c>
      <c r="K38" s="575">
        <f t="shared" si="5"/>
        <v>45.3</v>
      </c>
      <c r="L38" s="575">
        <f t="shared" si="5"/>
        <v>44.9</v>
      </c>
      <c r="M38" s="575">
        <f t="shared" si="5"/>
        <v>45.4</v>
      </c>
      <c r="N38" s="575">
        <f t="shared" si="5"/>
        <v>45.9</v>
      </c>
      <c r="O38" s="575">
        <f t="shared" si="5"/>
        <v>45.179472202489855</v>
      </c>
      <c r="P38" s="575">
        <f t="shared" si="5"/>
        <v>45.117600562980392</v>
      </c>
      <c r="Q38" s="575">
        <f t="shared" si="6"/>
        <v>45.248389703133633</v>
      </c>
      <c r="R38" s="575">
        <f t="shared" si="6"/>
        <v>45.190250127598674</v>
      </c>
      <c r="S38" s="575">
        <f t="shared" si="6"/>
        <v>45.392121473736516</v>
      </c>
      <c r="T38" s="575">
        <f t="shared" si="6"/>
        <v>45.644433925671841</v>
      </c>
      <c r="U38" s="575">
        <f t="shared" si="6"/>
        <v>45.923015098100862</v>
      </c>
      <c r="V38" s="575">
        <f t="shared" si="6"/>
        <v>46.207001444406053</v>
      </c>
      <c r="W38" s="575">
        <f t="shared" si="6"/>
        <v>46.419730980267232</v>
      </c>
      <c r="X38" s="575">
        <f t="shared" si="6"/>
        <v>46.631059323825987</v>
      </c>
      <c r="Y38" s="575">
        <f t="shared" si="6"/>
        <v>46.839924523073165</v>
      </c>
      <c r="Z38" s="575">
        <f t="shared" si="6"/>
        <v>47.054043906757286</v>
      </c>
      <c r="AA38" s="575">
        <f t="shared" si="7"/>
        <v>47.263106384197172</v>
      </c>
      <c r="AB38" s="575">
        <f t="shared" si="7"/>
        <v>47.363169268373781</v>
      </c>
      <c r="AC38" s="575">
        <f t="shared" si="7"/>
        <v>47.463048827686151</v>
      </c>
      <c r="AD38" s="575">
        <f t="shared" si="7"/>
        <v>47.562746231205452</v>
      </c>
      <c r="AE38" s="575">
        <f t="shared" si="7"/>
        <v>47.662262629564232</v>
      </c>
      <c r="AF38" s="575">
        <f t="shared" si="7"/>
        <v>47.761599155151828</v>
      </c>
      <c r="AG38" s="575">
        <f t="shared" si="7"/>
        <v>47.861557709026719</v>
      </c>
      <c r="AH38" s="575">
        <f t="shared" si="7"/>
        <v>47.961224086497161</v>
      </c>
      <c r="AI38" s="575">
        <f t="shared" si="7"/>
        <v>48.06060022028862</v>
      </c>
      <c r="AJ38" s="575">
        <f t="shared" si="7"/>
        <v>48.159688016832391</v>
      </c>
      <c r="AK38" s="575">
        <f t="shared" si="8"/>
        <v>48.258489356547372</v>
      </c>
      <c r="AL38" s="575">
        <f t="shared" si="8"/>
        <v>48.37762671431922</v>
      </c>
      <c r="AM38" s="575">
        <f t="shared" si="8"/>
        <v>48.496315696545963</v>
      </c>
      <c r="AN38" s="575">
        <f t="shared" si="8"/>
        <v>48.614559135690349</v>
      </c>
      <c r="AO38" s="575">
        <f t="shared" si="8"/>
        <v>48.73235982855357</v>
      </c>
      <c r="AP38" s="575">
        <f t="shared" si="8"/>
        <v>48.849720536660548</v>
      </c>
      <c r="AQ38" s="575">
        <f t="shared" si="8"/>
        <v>49.024574818868821</v>
      </c>
      <c r="AR38" s="575">
        <f t="shared" si="8"/>
        <v>49.198719487894593</v>
      </c>
      <c r="AS38" s="575">
        <f t="shared" si="8"/>
        <v>49.372158440659689</v>
      </c>
      <c r="AT38" s="575">
        <f t="shared" si="8"/>
        <v>49.544895527221009</v>
      </c>
      <c r="AU38" s="575">
        <f t="shared" si="8"/>
        <v>49.716934551280723</v>
      </c>
      <c r="AV38" s="621"/>
      <c r="AW38" s="621"/>
      <c r="AX38" s="621"/>
      <c r="AY38" s="621"/>
      <c r="AZ38" s="616"/>
      <c r="BA38" s="616"/>
      <c r="BB38" s="616"/>
      <c r="BC38" s="616"/>
      <c r="BD38" s="616"/>
      <c r="BE38" s="616"/>
      <c r="BF38" s="616"/>
      <c r="BG38" s="616"/>
      <c r="BH38" s="616"/>
      <c r="BI38" s="616"/>
      <c r="BJ38" s="616"/>
    </row>
    <row r="39" spans="2:66" s="1" customFormat="1" ht="15">
      <c r="B39" s="10" t="str">
        <f>Processes!D21</f>
        <v>IMPWCHS</v>
      </c>
      <c r="C39" s="10" t="str">
        <f>Processes!E21</f>
        <v>Import technology - Sustainable Wood chips and wood waste</v>
      </c>
      <c r="D39" s="263"/>
      <c r="E39" s="263" t="str">
        <f>Commodities!D21</f>
        <v>WCH</v>
      </c>
      <c r="F39" s="108" t="str">
        <f t="shared" si="4"/>
        <v>MKr19</v>
      </c>
      <c r="G39" s="575">
        <f t="shared" si="5"/>
        <v>46</v>
      </c>
      <c r="H39" s="575">
        <f t="shared" si="5"/>
        <v>46</v>
      </c>
      <c r="I39" s="575">
        <f t="shared" si="5"/>
        <v>46</v>
      </c>
      <c r="J39" s="575">
        <f t="shared" si="5"/>
        <v>45.7</v>
      </c>
      <c r="K39" s="575">
        <f t="shared" si="5"/>
        <v>45.3</v>
      </c>
      <c r="L39" s="575">
        <f t="shared" si="5"/>
        <v>44.9</v>
      </c>
      <c r="M39" s="575">
        <f t="shared" si="5"/>
        <v>45.4</v>
      </c>
      <c r="N39" s="575">
        <f t="shared" si="5"/>
        <v>45.9</v>
      </c>
      <c r="O39" s="575">
        <f t="shared" si="5"/>
        <v>45.179472202489855</v>
      </c>
      <c r="P39" s="575">
        <f t="shared" si="5"/>
        <v>45.117600562980392</v>
      </c>
      <c r="Q39" s="575">
        <f t="shared" si="6"/>
        <v>45.248389703133633</v>
      </c>
      <c r="R39" s="575">
        <f t="shared" si="6"/>
        <v>45.190250127598674</v>
      </c>
      <c r="S39" s="575">
        <f t="shared" si="6"/>
        <v>45.392121473736516</v>
      </c>
      <c r="T39" s="575">
        <f t="shared" si="6"/>
        <v>45.644433925671841</v>
      </c>
      <c r="U39" s="575">
        <f t="shared" si="6"/>
        <v>45.923015098100862</v>
      </c>
      <c r="V39" s="575">
        <f t="shared" si="6"/>
        <v>46.207001444406053</v>
      </c>
      <c r="W39" s="575">
        <f t="shared" si="6"/>
        <v>46.419730980267232</v>
      </c>
      <c r="X39" s="575">
        <f t="shared" si="6"/>
        <v>46.631059323825987</v>
      </c>
      <c r="Y39" s="575">
        <f t="shared" si="6"/>
        <v>46.839924523073165</v>
      </c>
      <c r="Z39" s="575">
        <f t="shared" si="6"/>
        <v>47.054043906757286</v>
      </c>
      <c r="AA39" s="575">
        <f t="shared" si="7"/>
        <v>47.263106384197172</v>
      </c>
      <c r="AB39" s="575">
        <f t="shared" si="7"/>
        <v>47.363169268373781</v>
      </c>
      <c r="AC39" s="575">
        <f t="shared" si="7"/>
        <v>47.463048827686151</v>
      </c>
      <c r="AD39" s="575">
        <f t="shared" si="7"/>
        <v>47.562746231205452</v>
      </c>
      <c r="AE39" s="575">
        <f t="shared" si="7"/>
        <v>47.662262629564232</v>
      </c>
      <c r="AF39" s="575">
        <f t="shared" si="7"/>
        <v>47.761599155151828</v>
      </c>
      <c r="AG39" s="575">
        <f t="shared" si="7"/>
        <v>47.861557709026719</v>
      </c>
      <c r="AH39" s="575">
        <f t="shared" si="7"/>
        <v>47.961224086497161</v>
      </c>
      <c r="AI39" s="575">
        <f t="shared" si="7"/>
        <v>48.06060022028862</v>
      </c>
      <c r="AJ39" s="575">
        <f t="shared" si="7"/>
        <v>48.159688016832391</v>
      </c>
      <c r="AK39" s="575">
        <f t="shared" si="8"/>
        <v>48.258489356547372</v>
      </c>
      <c r="AL39" s="575">
        <f t="shared" si="8"/>
        <v>48.37762671431922</v>
      </c>
      <c r="AM39" s="575">
        <f t="shared" si="8"/>
        <v>48.496315696545963</v>
      </c>
      <c r="AN39" s="575">
        <f t="shared" si="8"/>
        <v>48.614559135690349</v>
      </c>
      <c r="AO39" s="575">
        <f t="shared" si="8"/>
        <v>48.73235982855357</v>
      </c>
      <c r="AP39" s="575">
        <f t="shared" si="8"/>
        <v>48.849720536660548</v>
      </c>
      <c r="AQ39" s="575">
        <f t="shared" si="8"/>
        <v>49.024574818868821</v>
      </c>
      <c r="AR39" s="575">
        <f t="shared" si="8"/>
        <v>49.198719487894593</v>
      </c>
      <c r="AS39" s="575">
        <f t="shared" si="8"/>
        <v>49.372158440659689</v>
      </c>
      <c r="AT39" s="575">
        <f t="shared" si="8"/>
        <v>49.544895527221009</v>
      </c>
      <c r="AU39" s="575">
        <f t="shared" si="8"/>
        <v>49.716934551280723</v>
      </c>
      <c r="AV39" s="621"/>
      <c r="AW39" s="621"/>
      <c r="AX39" s="621"/>
      <c r="AY39" s="621"/>
      <c r="AZ39" s="616"/>
      <c r="BA39" s="616"/>
      <c r="BB39" s="616"/>
      <c r="BC39" s="616"/>
      <c r="BD39" s="616"/>
      <c r="BE39" s="616"/>
      <c r="BF39" s="616"/>
      <c r="BG39" s="616"/>
      <c r="BH39" s="616"/>
      <c r="BI39" s="616"/>
      <c r="BJ39" s="616"/>
    </row>
    <row r="40" spans="2:66" s="1" customFormat="1" ht="15">
      <c r="B40" s="456" t="str">
        <f>Processes!D22</f>
        <v>IMPFIW</v>
      </c>
      <c r="C40" s="456" t="str">
        <f>Processes!E22</f>
        <v>Import technology - Firewood</v>
      </c>
      <c r="D40" s="579"/>
      <c r="E40" s="579" t="str">
        <f>Commodities!D22</f>
        <v>FIW</v>
      </c>
      <c r="F40" s="108" t="str">
        <f t="shared" si="4"/>
        <v>MKr14</v>
      </c>
      <c r="G40" s="575">
        <f t="shared" si="5"/>
        <v>11.5</v>
      </c>
      <c r="H40" s="575">
        <f t="shared" si="5"/>
        <v>11.5</v>
      </c>
      <c r="I40" s="575">
        <f t="shared" si="5"/>
        <v>11.5</v>
      </c>
      <c r="J40" s="575">
        <f t="shared" si="5"/>
        <v>11.425000000000001</v>
      </c>
      <c r="K40" s="575">
        <f t="shared" si="5"/>
        <v>11.324999999999999</v>
      </c>
      <c r="L40" s="575">
        <f t="shared" si="5"/>
        <v>11.225</v>
      </c>
      <c r="M40" s="575">
        <f t="shared" si="5"/>
        <v>11.35</v>
      </c>
      <c r="N40" s="575">
        <f t="shared" si="5"/>
        <v>11.475</v>
      </c>
      <c r="O40" s="575">
        <f t="shared" si="5"/>
        <v>11.294868050622464</v>
      </c>
      <c r="P40" s="575">
        <f t="shared" si="5"/>
        <v>11.279400140745098</v>
      </c>
      <c r="Q40" s="575">
        <f t="shared" si="6"/>
        <v>11.312097425783408</v>
      </c>
      <c r="R40" s="575">
        <f t="shared" si="6"/>
        <v>11.297562531899668</v>
      </c>
      <c r="S40" s="575">
        <f t="shared" si="6"/>
        <v>11.348030368434129</v>
      </c>
      <c r="T40" s="575">
        <f t="shared" si="6"/>
        <v>11.41110848141796</v>
      </c>
      <c r="U40" s="575">
        <f t="shared" si="6"/>
        <v>11.480753774525216</v>
      </c>
      <c r="V40" s="575">
        <f t="shared" si="6"/>
        <v>11.551750361101513</v>
      </c>
      <c r="W40" s="575">
        <f t="shared" si="6"/>
        <v>11.604932745066808</v>
      </c>
      <c r="X40" s="575">
        <f t="shared" si="6"/>
        <v>11.657764830956497</v>
      </c>
      <c r="Y40" s="575">
        <f t="shared" si="6"/>
        <v>11.709981130768291</v>
      </c>
      <c r="Z40" s="575">
        <f t="shared" si="6"/>
        <v>11.763510976689322</v>
      </c>
      <c r="AA40" s="575">
        <f t="shared" si="7"/>
        <v>11.815776596049293</v>
      </c>
      <c r="AB40" s="575">
        <f t="shared" si="7"/>
        <v>11.840792317093445</v>
      </c>
      <c r="AC40" s="575">
        <f t="shared" si="7"/>
        <v>11.865762206921538</v>
      </c>
      <c r="AD40" s="575">
        <f t="shared" si="7"/>
        <v>11.890686557801363</v>
      </c>
      <c r="AE40" s="575">
        <f t="shared" si="7"/>
        <v>11.915565657391058</v>
      </c>
      <c r="AF40" s="575">
        <f t="shared" si="7"/>
        <v>11.940399788787957</v>
      </c>
      <c r="AG40" s="575">
        <f t="shared" si="7"/>
        <v>11.96538942725668</v>
      </c>
      <c r="AH40" s="575">
        <f t="shared" si="7"/>
        <v>11.99030602162429</v>
      </c>
      <c r="AI40" s="575">
        <f t="shared" si="7"/>
        <v>12.015150055072155</v>
      </c>
      <c r="AJ40" s="575">
        <f t="shared" si="7"/>
        <v>12.039922004208098</v>
      </c>
      <c r="AK40" s="575">
        <f t="shared" si="8"/>
        <v>12.064622339136843</v>
      </c>
      <c r="AL40" s="575">
        <f t="shared" si="8"/>
        <v>12.094406678579805</v>
      </c>
      <c r="AM40" s="575">
        <f t="shared" si="8"/>
        <v>12.124078924136491</v>
      </c>
      <c r="AN40" s="575">
        <f t="shared" si="8"/>
        <v>12.153639783922587</v>
      </c>
      <c r="AO40" s="575">
        <f t="shared" si="8"/>
        <v>12.183089957138392</v>
      </c>
      <c r="AP40" s="575">
        <f t="shared" si="8"/>
        <v>12.212430134165137</v>
      </c>
      <c r="AQ40" s="575">
        <f t="shared" si="8"/>
        <v>12.256143704717205</v>
      </c>
      <c r="AR40" s="575">
        <f t="shared" si="8"/>
        <v>12.299679871973648</v>
      </c>
      <c r="AS40" s="575">
        <f t="shared" si="8"/>
        <v>12.343039610164922</v>
      </c>
      <c r="AT40" s="575">
        <f t="shared" si="8"/>
        <v>12.386223881805252</v>
      </c>
      <c r="AU40" s="575">
        <f t="shared" si="8"/>
        <v>12.429233637820181</v>
      </c>
      <c r="AV40" s="629"/>
      <c r="AW40" s="3"/>
      <c r="BL40" s="630"/>
      <c r="BM40" s="630"/>
      <c r="BN40" s="630"/>
    </row>
    <row r="41" spans="2:66" ht="15">
      <c r="B41" s="10" t="str">
        <f>Processes!D23</f>
        <v>IMPCRD</v>
      </c>
      <c r="C41" s="10" t="str">
        <f>Processes!E23</f>
        <v>Import technology - Crude Oil</v>
      </c>
      <c r="D41" s="263"/>
      <c r="E41" s="263" t="str">
        <f>Commodities!D23</f>
        <v>CRD</v>
      </c>
      <c r="F41" s="108" t="str">
        <f t="shared" si="4"/>
        <v>MKr19</v>
      </c>
      <c r="G41" s="575">
        <f t="shared" si="5"/>
        <v>76.2</v>
      </c>
      <c r="H41" s="575">
        <f t="shared" si="5"/>
        <v>106.1</v>
      </c>
      <c r="I41" s="575">
        <f t="shared" si="5"/>
        <v>112.9</v>
      </c>
      <c r="J41" s="575">
        <f t="shared" si="5"/>
        <v>100.3</v>
      </c>
      <c r="K41" s="575">
        <f t="shared" si="5"/>
        <v>97.3</v>
      </c>
      <c r="L41" s="575">
        <f t="shared" si="5"/>
        <v>62.7</v>
      </c>
      <c r="M41" s="575">
        <f t="shared" si="5"/>
        <v>59.9</v>
      </c>
      <c r="N41" s="575">
        <f t="shared" si="5"/>
        <v>63.9</v>
      </c>
      <c r="O41" s="575">
        <f t="shared" si="5"/>
        <v>78.592912119302227</v>
      </c>
      <c r="P41" s="575">
        <f t="shared" si="5"/>
        <v>72.66780821917807</v>
      </c>
      <c r="Q41" s="575">
        <f t="shared" si="6"/>
        <v>71.191547947610658</v>
      </c>
      <c r="R41" s="575">
        <f t="shared" si="6"/>
        <v>49.181117057429148</v>
      </c>
      <c r="S41" s="575">
        <f t="shared" si="6"/>
        <v>52.581323432074825</v>
      </c>
      <c r="T41" s="575">
        <f t="shared" si="6"/>
        <v>54.889966476332738</v>
      </c>
      <c r="U41" s="575">
        <f t="shared" si="6"/>
        <v>56.568388062461416</v>
      </c>
      <c r="V41" s="575">
        <f t="shared" si="6"/>
        <v>57.786429057350325</v>
      </c>
      <c r="W41" s="575">
        <f t="shared" si="6"/>
        <v>59.146270171698553</v>
      </c>
      <c r="X41" s="575">
        <f t="shared" si="6"/>
        <v>60.478046986869018</v>
      </c>
      <c r="Y41" s="575">
        <f t="shared" si="6"/>
        <v>61.703174257304624</v>
      </c>
      <c r="Z41" s="575">
        <f t="shared" si="6"/>
        <v>62.989602327697277</v>
      </c>
      <c r="AA41" s="575">
        <f t="shared" si="7"/>
        <v>64.209121548162642</v>
      </c>
      <c r="AB41" s="575">
        <f t="shared" si="7"/>
        <v>63.901532941943884</v>
      </c>
      <c r="AC41" s="575">
        <f t="shared" si="7"/>
        <v>63.593944335725141</v>
      </c>
      <c r="AD41" s="575">
        <f t="shared" si="7"/>
        <v>63.286355729506404</v>
      </c>
      <c r="AE41" s="575">
        <f t="shared" si="7"/>
        <v>62.978767123287653</v>
      </c>
      <c r="AF41" s="575">
        <f t="shared" si="7"/>
        <v>62.671178517068917</v>
      </c>
      <c r="AG41" s="575">
        <f t="shared" si="7"/>
        <v>62.363589910850173</v>
      </c>
      <c r="AH41" s="575">
        <f t="shared" si="7"/>
        <v>62.056001304631437</v>
      </c>
      <c r="AI41" s="575">
        <f t="shared" si="7"/>
        <v>61.7484126984127</v>
      </c>
      <c r="AJ41" s="575">
        <f t="shared" si="7"/>
        <v>61.440824092193949</v>
      </c>
      <c r="AK41" s="575">
        <f t="shared" si="8"/>
        <v>61.133235485975206</v>
      </c>
      <c r="AL41" s="575">
        <f t="shared" si="8"/>
        <v>60.825646879756469</v>
      </c>
      <c r="AM41" s="575">
        <f t="shared" si="8"/>
        <v>60.518058273537719</v>
      </c>
      <c r="AN41" s="575">
        <f t="shared" si="8"/>
        <v>60.210469667318975</v>
      </c>
      <c r="AO41" s="575">
        <f t="shared" si="8"/>
        <v>59.902881061100238</v>
      </c>
      <c r="AP41" s="575">
        <f t="shared" si="8"/>
        <v>59.595292454881495</v>
      </c>
      <c r="AQ41" s="575">
        <f t="shared" si="8"/>
        <v>59.287703848662751</v>
      </c>
      <c r="AR41" s="575">
        <f t="shared" si="8"/>
        <v>58.980115242444008</v>
      </c>
      <c r="AS41" s="575">
        <f t="shared" si="8"/>
        <v>58.672526636225271</v>
      </c>
      <c r="AT41" s="575">
        <f t="shared" si="8"/>
        <v>58.364938030006527</v>
      </c>
      <c r="AU41" s="575">
        <f t="shared" si="8"/>
        <v>58.057349423787784</v>
      </c>
      <c r="AV41" s="620">
        <v>53.681999999999995</v>
      </c>
      <c r="AW41" s="620">
        <v>63.018000000000001</v>
      </c>
      <c r="AX41" s="620">
        <v>51.933999999999997</v>
      </c>
      <c r="AY41" s="620">
        <v>60.966000000000001</v>
      </c>
      <c r="AZ41" s="620">
        <v>62.330000000000005</v>
      </c>
      <c r="BA41" s="620">
        <v>0</v>
      </c>
      <c r="BB41" s="620">
        <v>73.87078360000001</v>
      </c>
      <c r="BC41" s="620">
        <v>86.717876400000009</v>
      </c>
      <c r="BD41" s="616">
        <v>4</v>
      </c>
      <c r="BE41" s="616"/>
      <c r="BF41" s="616"/>
      <c r="BG41" s="616"/>
      <c r="BH41" s="616"/>
      <c r="BI41" s="616"/>
      <c r="BJ41" s="616"/>
    </row>
    <row r="42" spans="2:66" ht="15">
      <c r="B42" s="10" t="str">
        <f>Processes!D24</f>
        <v>IMPLVN</v>
      </c>
      <c r="C42" s="10" t="str">
        <f>Processes!E24</f>
        <v>Import technology - Naphtha (Petroleoum)</v>
      </c>
      <c r="D42" s="263"/>
      <c r="E42" s="263" t="str">
        <f>Commodities!D26</f>
        <v>LVN</v>
      </c>
      <c r="F42" s="108" t="str">
        <f t="shared" si="4"/>
        <v>MKr14</v>
      </c>
      <c r="G42" s="575">
        <f t="shared" si="5"/>
        <v>76.5</v>
      </c>
      <c r="H42" s="575">
        <f t="shared" si="5"/>
        <v>112.4</v>
      </c>
      <c r="I42" s="575">
        <f t="shared" si="5"/>
        <v>116.3</v>
      </c>
      <c r="J42" s="575">
        <f t="shared" si="5"/>
        <v>118.6</v>
      </c>
      <c r="K42" s="575">
        <f t="shared" si="5"/>
        <v>110.1</v>
      </c>
      <c r="L42" s="575">
        <f t="shared" si="5"/>
        <v>73.5</v>
      </c>
      <c r="M42" s="575">
        <f t="shared" si="5"/>
        <v>70.599999999999994</v>
      </c>
      <c r="N42" s="575">
        <f t="shared" si="5"/>
        <v>74.7</v>
      </c>
      <c r="O42" s="575">
        <f t="shared" si="5"/>
        <v>99.501075794723519</v>
      </c>
      <c r="P42" s="575">
        <f t="shared" si="5"/>
        <v>92.996963615472367</v>
      </c>
      <c r="Q42" s="575">
        <f t="shared" si="6"/>
        <v>91.517025086546809</v>
      </c>
      <c r="R42" s="575">
        <f t="shared" si="6"/>
        <v>69.532939675183428</v>
      </c>
      <c r="S42" s="575">
        <f t="shared" si="6"/>
        <v>72.941438545887451</v>
      </c>
      <c r="T42" s="575">
        <f t="shared" si="6"/>
        <v>75.264522441042786</v>
      </c>
      <c r="U42" s="575">
        <f t="shared" si="6"/>
        <v>76.962731586007934</v>
      </c>
      <c r="V42" s="575">
        <f t="shared" si="6"/>
        <v>78.199209412536121</v>
      </c>
      <c r="W42" s="575">
        <f t="shared" si="6"/>
        <v>79.564672750845261</v>
      </c>
      <c r="X42" s="575">
        <f t="shared" si="6"/>
        <v>80.902811517689884</v>
      </c>
      <c r="Y42" s="575">
        <f t="shared" si="6"/>
        <v>82.133932814730045</v>
      </c>
      <c r="Z42" s="575">
        <f t="shared" si="6"/>
        <v>83.42668470166312</v>
      </c>
      <c r="AA42" s="575">
        <f t="shared" si="7"/>
        <v>84.649874602600562</v>
      </c>
      <c r="AB42" s="575">
        <f t="shared" si="7"/>
        <v>84.343730840397711</v>
      </c>
      <c r="AC42" s="575">
        <f t="shared" si="7"/>
        <v>84.036854893898322</v>
      </c>
      <c r="AD42" s="575">
        <f t="shared" si="7"/>
        <v>83.731245986171288</v>
      </c>
      <c r="AE42" s="575">
        <f t="shared" si="7"/>
        <v>83.424869481157842</v>
      </c>
      <c r="AF42" s="575">
        <f t="shared" si="7"/>
        <v>83.118589672609204</v>
      </c>
      <c r="AG42" s="575">
        <f t="shared" si="7"/>
        <v>82.811383985383955</v>
      </c>
      <c r="AH42" s="575">
        <f t="shared" si="7"/>
        <v>82.505260877276157</v>
      </c>
      <c r="AI42" s="575">
        <f t="shared" si="7"/>
        <v>82.198407292957839</v>
      </c>
      <c r="AJ42" s="575">
        <f t="shared" si="7"/>
        <v>81.892482546272987</v>
      </c>
      <c r="AK42" s="575">
        <f t="shared" si="8"/>
        <v>81.586255922780509</v>
      </c>
      <c r="AL42" s="575">
        <f t="shared" si="8"/>
        <v>81.280029803612607</v>
      </c>
      <c r="AM42" s="575">
        <f t="shared" si="8"/>
        <v>80.976964003619855</v>
      </c>
      <c r="AN42" s="575">
        <f t="shared" si="8"/>
        <v>80.673903946081424</v>
      </c>
      <c r="AO42" s="575">
        <f t="shared" si="8"/>
        <v>80.370849638339479</v>
      </c>
      <c r="AP42" s="575">
        <f t="shared" si="8"/>
        <v>80.067801087745465</v>
      </c>
      <c r="AQ42" s="575">
        <f t="shared" si="8"/>
        <v>79.764758301660265</v>
      </c>
      <c r="AR42" s="575">
        <f t="shared" si="8"/>
        <v>79.461721287454196</v>
      </c>
      <c r="AS42" s="575">
        <f t="shared" si="8"/>
        <v>79.158690052506984</v>
      </c>
      <c r="AT42" s="575">
        <f t="shared" si="8"/>
        <v>78.85566460420776</v>
      </c>
      <c r="AU42" s="575">
        <f t="shared" si="8"/>
        <v>78.552644949955152</v>
      </c>
      <c r="AV42" s="620">
        <v>2.7600000000000002</v>
      </c>
      <c r="AW42" s="620">
        <v>3.24</v>
      </c>
      <c r="AX42" s="620">
        <v>3.5880000000000001</v>
      </c>
      <c r="AY42" s="620">
        <v>4.2119999999999997</v>
      </c>
      <c r="AZ42" s="620">
        <v>2.4380000000000002</v>
      </c>
      <c r="BA42" s="620">
        <v>2.8620000000000001</v>
      </c>
      <c r="BB42" s="620">
        <v>3.9831303400000002</v>
      </c>
      <c r="BC42" s="620">
        <v>4.6758486600000007</v>
      </c>
      <c r="BD42" s="616">
        <v>4</v>
      </c>
      <c r="BE42" s="616"/>
      <c r="BF42" s="616"/>
      <c r="BG42" s="616"/>
      <c r="BH42" s="616"/>
      <c r="BI42" s="616"/>
      <c r="BJ42" s="616"/>
    </row>
    <row r="43" spans="2:66" ht="15">
      <c r="B43" s="10" t="str">
        <f>Processes!D25</f>
        <v>IMPLPG</v>
      </c>
      <c r="C43" s="10" t="str">
        <f>Processes!E25</f>
        <v>Import technology - Liquid petrol gas</v>
      </c>
      <c r="D43" s="263"/>
      <c r="E43" s="263" t="str">
        <f>Commodities!D25</f>
        <v>LPG</v>
      </c>
      <c r="F43" s="108" t="str">
        <f t="shared" si="4"/>
        <v>MKr14</v>
      </c>
      <c r="G43" s="575">
        <f t="shared" si="5"/>
        <v>88.8</v>
      </c>
      <c r="H43" s="575">
        <f t="shared" si="5"/>
        <v>92.2</v>
      </c>
      <c r="I43" s="575">
        <f t="shared" si="5"/>
        <v>110.2</v>
      </c>
      <c r="J43" s="575">
        <f t="shared" si="5"/>
        <v>108.4</v>
      </c>
      <c r="K43" s="575">
        <f t="shared" si="5"/>
        <v>91.4</v>
      </c>
      <c r="L43" s="575">
        <f t="shared" si="5"/>
        <v>88</v>
      </c>
      <c r="M43" s="575">
        <f t="shared" si="5"/>
        <v>73.599999999999994</v>
      </c>
      <c r="N43" s="575">
        <f t="shared" si="5"/>
        <v>73.8</v>
      </c>
      <c r="O43" s="575">
        <f t="shared" si="5"/>
        <v>106.84436676370051</v>
      </c>
      <c r="P43" s="575">
        <f t="shared" si="5"/>
        <v>68.522022481240924</v>
      </c>
      <c r="Q43" s="575">
        <f t="shared" si="6"/>
        <v>66.795699972964513</v>
      </c>
      <c r="R43" s="575">
        <f t="shared" si="6"/>
        <v>63.050580050876398</v>
      </c>
      <c r="S43" s="575">
        <f t="shared" si="6"/>
        <v>65.525097243083792</v>
      </c>
      <c r="T43" s="575">
        <f t="shared" si="6"/>
        <v>66.735376625750931</v>
      </c>
      <c r="U43" s="575">
        <f t="shared" si="6"/>
        <v>67.134247840724143</v>
      </c>
      <c r="V43" s="575">
        <f t="shared" si="6"/>
        <v>67.01216692582733</v>
      </c>
      <c r="W43" s="575">
        <f t="shared" si="6"/>
        <v>66.935278408608127</v>
      </c>
      <c r="X43" s="575">
        <f t="shared" si="6"/>
        <v>66.885894172463338</v>
      </c>
      <c r="Y43" s="575">
        <f t="shared" si="6"/>
        <v>66.843599180906921</v>
      </c>
      <c r="Z43" s="575">
        <f t="shared" si="6"/>
        <v>66.828440496044607</v>
      </c>
      <c r="AA43" s="575">
        <f t="shared" si="7"/>
        <v>66.824305220819767</v>
      </c>
      <c r="AB43" s="575">
        <f t="shared" si="7"/>
        <v>66.916476676296767</v>
      </c>
      <c r="AC43" s="575">
        <f t="shared" si="7"/>
        <v>67.008648131773768</v>
      </c>
      <c r="AD43" s="575">
        <f t="shared" si="7"/>
        <v>67.100819587250754</v>
      </c>
      <c r="AE43" s="575">
        <f t="shared" si="7"/>
        <v>67.192991042727741</v>
      </c>
      <c r="AF43" s="575">
        <f t="shared" si="7"/>
        <v>67.285162498204755</v>
      </c>
      <c r="AG43" s="575">
        <f t="shared" si="7"/>
        <v>67.377333953681756</v>
      </c>
      <c r="AH43" s="575">
        <f t="shared" si="7"/>
        <v>67.469505409158728</v>
      </c>
      <c r="AI43" s="575">
        <f t="shared" si="7"/>
        <v>67.561676864635729</v>
      </c>
      <c r="AJ43" s="575">
        <f t="shared" si="7"/>
        <v>67.653848320112701</v>
      </c>
      <c r="AK43" s="575">
        <f t="shared" si="8"/>
        <v>67.746019775589701</v>
      </c>
      <c r="AL43" s="575">
        <f t="shared" si="8"/>
        <v>67.838191231066702</v>
      </c>
      <c r="AM43" s="575">
        <f t="shared" si="8"/>
        <v>67.930362686543688</v>
      </c>
      <c r="AN43" s="575">
        <f t="shared" si="8"/>
        <v>68.022534142020675</v>
      </c>
      <c r="AO43" s="575">
        <f t="shared" si="8"/>
        <v>68.114705597497675</v>
      </c>
      <c r="AP43" s="575">
        <f t="shared" si="8"/>
        <v>68.206877052974676</v>
      </c>
      <c r="AQ43" s="575">
        <f t="shared" si="8"/>
        <v>68.299048508451676</v>
      </c>
      <c r="AR43" s="575">
        <f t="shared" si="8"/>
        <v>68.391219963928648</v>
      </c>
      <c r="AS43" s="575">
        <f t="shared" si="8"/>
        <v>68.483391419405663</v>
      </c>
      <c r="AT43" s="575">
        <f t="shared" si="8"/>
        <v>68.575562874882635</v>
      </c>
      <c r="AU43" s="575">
        <f t="shared" si="8"/>
        <v>68.66773433035965</v>
      </c>
      <c r="AV43" s="620">
        <v>0.23</v>
      </c>
      <c r="AW43" s="620">
        <v>0.27</v>
      </c>
      <c r="AX43" s="620">
        <v>0.18400000000000002</v>
      </c>
      <c r="AY43" s="620">
        <v>0.21600000000000003</v>
      </c>
      <c r="AZ43" s="620">
        <v>1.5640000000000001</v>
      </c>
      <c r="BA43" s="620">
        <v>1.8360000000000001</v>
      </c>
      <c r="BB43" s="620">
        <v>0</v>
      </c>
      <c r="BC43" s="620">
        <v>0</v>
      </c>
      <c r="BD43" s="616">
        <v>4</v>
      </c>
      <c r="BE43" s="616"/>
      <c r="BF43" s="616"/>
      <c r="BG43" s="616"/>
      <c r="BH43" s="616"/>
      <c r="BI43" s="616"/>
      <c r="BJ43" s="616"/>
    </row>
    <row r="44" spans="2:66" ht="15">
      <c r="B44" s="10" t="str">
        <f>Processes!D26</f>
        <v>IMPGSL</v>
      </c>
      <c r="C44" s="10" t="str">
        <f>Processes!E26</f>
        <v>Import technology - Gasoline</v>
      </c>
      <c r="D44" s="263"/>
      <c r="E44" s="263" t="str">
        <f>Commodities!D27</f>
        <v>GSL</v>
      </c>
      <c r="F44" s="108" t="str">
        <f t="shared" si="4"/>
        <v>MKr19</v>
      </c>
      <c r="G44" s="575">
        <f t="shared" si="5"/>
        <v>92.8</v>
      </c>
      <c r="H44" s="575">
        <f t="shared" si="5"/>
        <v>122.9</v>
      </c>
      <c r="I44" s="575">
        <f t="shared" si="5"/>
        <v>136.69999999999999</v>
      </c>
      <c r="J44" s="575">
        <f t="shared" si="5"/>
        <v>122</v>
      </c>
      <c r="K44" s="575">
        <f t="shared" si="5"/>
        <v>114.8</v>
      </c>
      <c r="L44" s="575">
        <f t="shared" si="5"/>
        <v>78.2</v>
      </c>
      <c r="M44" s="575">
        <f t="shared" si="5"/>
        <v>75.3</v>
      </c>
      <c r="N44" s="575">
        <f t="shared" si="5"/>
        <v>79.400000000000006</v>
      </c>
      <c r="O44" s="575">
        <f t="shared" si="5"/>
        <v>102.40107579472352</v>
      </c>
      <c r="P44" s="575">
        <f t="shared" si="5"/>
        <v>97.746963615472367</v>
      </c>
      <c r="Q44" s="575">
        <f t="shared" si="6"/>
        <v>96.267025086546809</v>
      </c>
      <c r="R44" s="575">
        <f t="shared" si="6"/>
        <v>74.282939675183428</v>
      </c>
      <c r="S44" s="575">
        <f t="shared" si="6"/>
        <v>77.691438545887451</v>
      </c>
      <c r="T44" s="575">
        <f t="shared" si="6"/>
        <v>80.014522441042786</v>
      </c>
      <c r="U44" s="575">
        <f t="shared" si="6"/>
        <v>81.712731586007934</v>
      </c>
      <c r="V44" s="575">
        <f t="shared" si="6"/>
        <v>82.949209412536121</v>
      </c>
      <c r="W44" s="575">
        <f t="shared" si="6"/>
        <v>84.314672750845261</v>
      </c>
      <c r="X44" s="575">
        <f t="shared" si="6"/>
        <v>85.652811517689884</v>
      </c>
      <c r="Y44" s="575">
        <f t="shared" si="6"/>
        <v>86.883932814730045</v>
      </c>
      <c r="Z44" s="575">
        <f t="shared" si="6"/>
        <v>88.17668470166312</v>
      </c>
      <c r="AA44" s="575">
        <f t="shared" si="7"/>
        <v>89.399874602600562</v>
      </c>
      <c r="AB44" s="575">
        <f t="shared" si="7"/>
        <v>89.093730840397711</v>
      </c>
      <c r="AC44" s="575">
        <f t="shared" si="7"/>
        <v>88.786854893898322</v>
      </c>
      <c r="AD44" s="575">
        <f t="shared" si="7"/>
        <v>88.481245986171288</v>
      </c>
      <c r="AE44" s="575">
        <f t="shared" si="7"/>
        <v>88.174869481157842</v>
      </c>
      <c r="AF44" s="575">
        <f t="shared" si="7"/>
        <v>87.868589672609204</v>
      </c>
      <c r="AG44" s="575">
        <f t="shared" si="7"/>
        <v>87.561383985383955</v>
      </c>
      <c r="AH44" s="575">
        <f t="shared" si="7"/>
        <v>87.255260877276157</v>
      </c>
      <c r="AI44" s="575">
        <f t="shared" si="7"/>
        <v>86.948407292957839</v>
      </c>
      <c r="AJ44" s="575">
        <f t="shared" si="7"/>
        <v>86.642482546272987</v>
      </c>
      <c r="AK44" s="575">
        <f t="shared" si="8"/>
        <v>86.336255922780509</v>
      </c>
      <c r="AL44" s="575">
        <f t="shared" si="8"/>
        <v>86.030029803612607</v>
      </c>
      <c r="AM44" s="575">
        <f t="shared" si="8"/>
        <v>85.726964003619855</v>
      </c>
      <c r="AN44" s="575">
        <f t="shared" si="8"/>
        <v>85.423903946081424</v>
      </c>
      <c r="AO44" s="575">
        <f t="shared" si="8"/>
        <v>85.120849638339479</v>
      </c>
      <c r="AP44" s="575">
        <f t="shared" si="8"/>
        <v>84.817801087745465</v>
      </c>
      <c r="AQ44" s="575">
        <f t="shared" si="8"/>
        <v>84.514758301660265</v>
      </c>
      <c r="AR44" s="575">
        <f t="shared" si="8"/>
        <v>84.211721287454196</v>
      </c>
      <c r="AS44" s="575">
        <f t="shared" si="8"/>
        <v>83.908690052506984</v>
      </c>
      <c r="AT44" s="575">
        <f t="shared" si="8"/>
        <v>83.60566460420776</v>
      </c>
      <c r="AU44" s="575">
        <f t="shared" si="8"/>
        <v>83.302644949955152</v>
      </c>
      <c r="AV44" s="620">
        <v>9.9360000000000017</v>
      </c>
      <c r="AW44" s="620">
        <v>11.664000000000001</v>
      </c>
      <c r="AX44" s="620">
        <v>9.4760000000000009</v>
      </c>
      <c r="AY44" s="620">
        <v>11.124000000000002</v>
      </c>
      <c r="AZ44" s="620">
        <v>8.0500000000000007</v>
      </c>
      <c r="BA44" s="620">
        <v>9.4500000000000011</v>
      </c>
      <c r="BB44" s="620">
        <v>16.33415012</v>
      </c>
      <c r="BC44" s="620">
        <v>19.174871880000001</v>
      </c>
      <c r="BD44" s="616">
        <v>4</v>
      </c>
      <c r="BE44" s="616"/>
      <c r="BF44" s="616"/>
      <c r="BG44" s="616"/>
      <c r="BH44" s="616"/>
      <c r="BI44" s="616"/>
      <c r="BJ44" s="616"/>
    </row>
    <row r="45" spans="2:66" ht="15">
      <c r="B45" s="10" t="str">
        <f>Processes!D27</f>
        <v>IMPKER</v>
      </c>
      <c r="C45" s="10" t="str">
        <f>Processes!E27</f>
        <v>Import technology - Kerosene</v>
      </c>
      <c r="D45" s="263"/>
      <c r="E45" s="263" t="str">
        <f>Commodities!D28</f>
        <v>KER</v>
      </c>
      <c r="F45" s="108" t="str">
        <f t="shared" si="4"/>
        <v>MKr19</v>
      </c>
      <c r="G45" s="575">
        <f t="shared" si="5"/>
        <v>76.5</v>
      </c>
      <c r="H45" s="575">
        <f t="shared" si="5"/>
        <v>112.4</v>
      </c>
      <c r="I45" s="575">
        <f t="shared" si="5"/>
        <v>116.3</v>
      </c>
      <c r="J45" s="575">
        <f t="shared" si="5"/>
        <v>118.6</v>
      </c>
      <c r="K45" s="575">
        <f t="shared" si="5"/>
        <v>110.1</v>
      </c>
      <c r="L45" s="575">
        <f t="shared" si="5"/>
        <v>73.5</v>
      </c>
      <c r="M45" s="575">
        <f t="shared" si="5"/>
        <v>70.599999999999994</v>
      </c>
      <c r="N45" s="575">
        <f t="shared" si="5"/>
        <v>74.7</v>
      </c>
      <c r="O45" s="575">
        <f t="shared" si="5"/>
        <v>99.501075794723519</v>
      </c>
      <c r="P45" s="575">
        <f t="shared" si="5"/>
        <v>92.996963615472367</v>
      </c>
      <c r="Q45" s="575">
        <f t="shared" si="6"/>
        <v>91.517025086546809</v>
      </c>
      <c r="R45" s="575">
        <f t="shared" si="6"/>
        <v>69.532939675183428</v>
      </c>
      <c r="S45" s="575">
        <f t="shared" si="6"/>
        <v>72.941438545887451</v>
      </c>
      <c r="T45" s="575">
        <f t="shared" si="6"/>
        <v>75.264522441042786</v>
      </c>
      <c r="U45" s="575">
        <f t="shared" si="6"/>
        <v>76.962731586007934</v>
      </c>
      <c r="V45" s="575">
        <f t="shared" si="6"/>
        <v>78.199209412536121</v>
      </c>
      <c r="W45" s="575">
        <f t="shared" si="6"/>
        <v>79.564672750845261</v>
      </c>
      <c r="X45" s="575">
        <f t="shared" si="6"/>
        <v>80.902811517689884</v>
      </c>
      <c r="Y45" s="575">
        <f t="shared" si="6"/>
        <v>82.133932814730045</v>
      </c>
      <c r="Z45" s="575">
        <f t="shared" si="6"/>
        <v>83.42668470166312</v>
      </c>
      <c r="AA45" s="575">
        <f t="shared" si="7"/>
        <v>84.649874602600562</v>
      </c>
      <c r="AB45" s="575">
        <f t="shared" si="7"/>
        <v>84.343730840397711</v>
      </c>
      <c r="AC45" s="575">
        <f t="shared" si="7"/>
        <v>84.036854893898322</v>
      </c>
      <c r="AD45" s="575">
        <f t="shared" si="7"/>
        <v>83.731245986171288</v>
      </c>
      <c r="AE45" s="575">
        <f t="shared" si="7"/>
        <v>83.424869481157842</v>
      </c>
      <c r="AF45" s="575">
        <f t="shared" si="7"/>
        <v>83.118589672609204</v>
      </c>
      <c r="AG45" s="575">
        <f t="shared" si="7"/>
        <v>82.811383985383955</v>
      </c>
      <c r="AH45" s="575">
        <f t="shared" si="7"/>
        <v>82.505260877276157</v>
      </c>
      <c r="AI45" s="575">
        <f t="shared" si="7"/>
        <v>82.198407292957839</v>
      </c>
      <c r="AJ45" s="575">
        <f t="shared" si="7"/>
        <v>81.892482546272987</v>
      </c>
      <c r="AK45" s="575">
        <f t="shared" si="8"/>
        <v>81.586255922780509</v>
      </c>
      <c r="AL45" s="575">
        <f t="shared" si="8"/>
        <v>81.280029803612607</v>
      </c>
      <c r="AM45" s="575">
        <f t="shared" si="8"/>
        <v>80.976964003619855</v>
      </c>
      <c r="AN45" s="575">
        <f t="shared" si="8"/>
        <v>80.673903946081424</v>
      </c>
      <c r="AO45" s="575">
        <f t="shared" si="8"/>
        <v>80.370849638339479</v>
      </c>
      <c r="AP45" s="575">
        <f t="shared" si="8"/>
        <v>80.067801087745465</v>
      </c>
      <c r="AQ45" s="575">
        <f t="shared" si="8"/>
        <v>79.764758301660265</v>
      </c>
      <c r="AR45" s="575">
        <f t="shared" si="8"/>
        <v>79.461721287454196</v>
      </c>
      <c r="AS45" s="575">
        <f t="shared" si="8"/>
        <v>79.158690052506984</v>
      </c>
      <c r="AT45" s="575">
        <f t="shared" si="8"/>
        <v>78.85566460420776</v>
      </c>
      <c r="AU45" s="575">
        <f t="shared" si="8"/>
        <v>78.552644949955152</v>
      </c>
      <c r="AV45" s="620">
        <v>16.330000000000002</v>
      </c>
      <c r="AW45" s="620">
        <v>19.170000000000002</v>
      </c>
      <c r="AX45" s="620">
        <v>14.628</v>
      </c>
      <c r="AY45" s="620">
        <v>17.172000000000001</v>
      </c>
      <c r="AZ45" s="620">
        <v>16.882000000000001</v>
      </c>
      <c r="BA45" s="620">
        <v>19.818000000000001</v>
      </c>
      <c r="BB45" s="620">
        <v>18.107285900000001</v>
      </c>
      <c r="BC45" s="620">
        <v>21.2563791</v>
      </c>
      <c r="BD45" s="616">
        <v>4</v>
      </c>
      <c r="BE45" s="616"/>
      <c r="BF45" s="616"/>
      <c r="BG45" s="616"/>
      <c r="BH45" s="616"/>
      <c r="BI45" s="616"/>
      <c r="BJ45" s="616"/>
    </row>
    <row r="46" spans="2:66" ht="15">
      <c r="B46" s="10" t="str">
        <f>Processes!D28</f>
        <v>IMPKRB1</v>
      </c>
      <c r="C46" s="10" t="str">
        <f>Processes!E28</f>
        <v>Import technology - Bio Kerosene G1</v>
      </c>
      <c r="D46" s="263"/>
      <c r="E46" s="263" t="str">
        <f>Commodities!D32</f>
        <v>KRB1</v>
      </c>
      <c r="F46" s="108" t="str">
        <f t="shared" si="4"/>
        <v>MKr19</v>
      </c>
      <c r="G46" s="575">
        <f t="shared" ref="G46:P54" si="9">IFERROR(INDEX($G$113:$AU$169,MATCH($E46,$E$113:$E$169,0),MATCH(G$23,$G$112:$AU$112,0)),0)</f>
        <v>175.68699892341868</v>
      </c>
      <c r="H46" s="575">
        <f t="shared" si="9"/>
        <v>211.58699892341872</v>
      </c>
      <c r="I46" s="575">
        <f t="shared" si="9"/>
        <v>215.4869989234187</v>
      </c>
      <c r="J46" s="575">
        <f t="shared" si="9"/>
        <v>217.78699892341871</v>
      </c>
      <c r="K46" s="575">
        <f t="shared" si="9"/>
        <v>209.28699892341871</v>
      </c>
      <c r="L46" s="575">
        <f t="shared" si="9"/>
        <v>172.68699892341868</v>
      </c>
      <c r="M46" s="575">
        <f t="shared" si="9"/>
        <v>169.78699892341871</v>
      </c>
      <c r="N46" s="575">
        <f t="shared" si="9"/>
        <v>173.8869989234187</v>
      </c>
      <c r="O46" s="575">
        <f t="shared" si="9"/>
        <v>198.68807471814222</v>
      </c>
      <c r="P46" s="575">
        <f t="shared" si="9"/>
        <v>192.18396253889108</v>
      </c>
      <c r="Q46" s="575">
        <f t="shared" ref="Q46:Z54" si="10">IFERROR(INDEX($G$113:$AU$169,MATCH($E46,$E$113:$E$169,0),MATCH(Q$23,$G$112:$AU$112,0)),0)</f>
        <v>190.70402400996551</v>
      </c>
      <c r="R46" s="575">
        <f t="shared" si="10"/>
        <v>168.71993859860214</v>
      </c>
      <c r="S46" s="575">
        <f t="shared" si="10"/>
        <v>172.12843746930616</v>
      </c>
      <c r="T46" s="575">
        <f t="shared" si="10"/>
        <v>174.45152136446148</v>
      </c>
      <c r="U46" s="575">
        <f t="shared" si="10"/>
        <v>176.14973050942663</v>
      </c>
      <c r="V46" s="575">
        <f t="shared" si="10"/>
        <v>177.38620833595482</v>
      </c>
      <c r="W46" s="575">
        <f t="shared" si="10"/>
        <v>178.75167167426395</v>
      </c>
      <c r="X46" s="575">
        <f t="shared" si="10"/>
        <v>180.08981044110857</v>
      </c>
      <c r="Y46" s="575">
        <f t="shared" si="10"/>
        <v>181.32093173814874</v>
      </c>
      <c r="Z46" s="575">
        <f t="shared" si="10"/>
        <v>182.61368362508182</v>
      </c>
      <c r="AA46" s="575">
        <f t="shared" ref="AA46:AJ54" si="11">IFERROR(INDEX($G$113:$AU$169,MATCH($E46,$E$113:$E$169,0),MATCH(AA$23,$G$112:$AU$112,0)),0)</f>
        <v>183.83687352601925</v>
      </c>
      <c r="AB46" s="575">
        <f t="shared" si="11"/>
        <v>183.5307297638164</v>
      </c>
      <c r="AC46" s="575">
        <f t="shared" si="11"/>
        <v>183.22385381731704</v>
      </c>
      <c r="AD46" s="575">
        <f t="shared" si="11"/>
        <v>182.91824490958999</v>
      </c>
      <c r="AE46" s="575">
        <f t="shared" si="11"/>
        <v>182.61186840457654</v>
      </c>
      <c r="AF46" s="575">
        <f t="shared" si="11"/>
        <v>182.30558859602792</v>
      </c>
      <c r="AG46" s="575">
        <f t="shared" si="11"/>
        <v>181.99838290880265</v>
      </c>
      <c r="AH46" s="575">
        <f t="shared" si="11"/>
        <v>181.69225980069484</v>
      </c>
      <c r="AI46" s="575">
        <f t="shared" si="11"/>
        <v>181.38540621637654</v>
      </c>
      <c r="AJ46" s="575">
        <f t="shared" si="11"/>
        <v>181.0794814696917</v>
      </c>
      <c r="AK46" s="575">
        <f t="shared" ref="AK46:AU54" si="12">IFERROR(INDEX($G$113:$AU$169,MATCH($E46,$E$113:$E$169,0),MATCH(AK$23,$G$112:$AU$112,0)),0)</f>
        <v>180.77325484619922</v>
      </c>
      <c r="AL46" s="575">
        <f t="shared" si="12"/>
        <v>180.46702872703131</v>
      </c>
      <c r="AM46" s="575">
        <f t="shared" si="12"/>
        <v>180.16396292703854</v>
      </c>
      <c r="AN46" s="575">
        <f t="shared" si="12"/>
        <v>179.86090286950014</v>
      </c>
      <c r="AO46" s="575">
        <f t="shared" si="12"/>
        <v>179.55784856175819</v>
      </c>
      <c r="AP46" s="575">
        <f t="shared" si="12"/>
        <v>179.25480001116415</v>
      </c>
      <c r="AQ46" s="575">
        <f t="shared" si="12"/>
        <v>178.95175722507895</v>
      </c>
      <c r="AR46" s="575">
        <f t="shared" si="12"/>
        <v>178.64872021087291</v>
      </c>
      <c r="AS46" s="575">
        <f t="shared" si="12"/>
        <v>178.34568897592567</v>
      </c>
      <c r="AT46" s="575">
        <f t="shared" si="12"/>
        <v>178.04266352762647</v>
      </c>
      <c r="AU46" s="575">
        <f t="shared" si="12"/>
        <v>177.73964387337384</v>
      </c>
      <c r="AV46" s="621"/>
      <c r="AW46" s="621"/>
      <c r="AX46" s="621"/>
      <c r="AY46" s="621"/>
      <c r="AZ46" s="616"/>
      <c r="BA46" s="616"/>
      <c r="BB46" s="616"/>
      <c r="BC46" s="616"/>
      <c r="BD46" s="616"/>
      <c r="BE46" s="616"/>
      <c r="BF46" s="616"/>
      <c r="BG46" s="616"/>
      <c r="BH46" s="616"/>
      <c r="BI46" s="616"/>
      <c r="BJ46" s="616"/>
    </row>
    <row r="47" spans="2:66" ht="15">
      <c r="B47" s="10" t="str">
        <f>Processes!D29</f>
        <v>IMPKRB2</v>
      </c>
      <c r="C47" s="10" t="str">
        <f>Processes!E29</f>
        <v>Import technology - Bio Kerosene G2</v>
      </c>
      <c r="D47" s="263"/>
      <c r="E47" s="263" t="str">
        <f>Commodities!D33</f>
        <v>KRB2</v>
      </c>
      <c r="F47" s="108" t="str">
        <f t="shared" si="4"/>
        <v>MKr19</v>
      </c>
      <c r="G47" s="575">
        <f t="shared" si="9"/>
        <v>193.25569881576058</v>
      </c>
      <c r="H47" s="575">
        <f t="shared" si="9"/>
        <v>232.74569881576062</v>
      </c>
      <c r="I47" s="575">
        <f t="shared" si="9"/>
        <v>237.03569881576058</v>
      </c>
      <c r="J47" s="575">
        <f t="shared" si="9"/>
        <v>239.56569881576058</v>
      </c>
      <c r="K47" s="575">
        <f t="shared" si="9"/>
        <v>230.21569881576059</v>
      </c>
      <c r="L47" s="575">
        <f t="shared" si="9"/>
        <v>189.95569881576057</v>
      </c>
      <c r="M47" s="575">
        <f t="shared" si="9"/>
        <v>186.7656988157606</v>
      </c>
      <c r="N47" s="575">
        <f t="shared" si="9"/>
        <v>191.27569881576059</v>
      </c>
      <c r="O47" s="575">
        <f t="shared" si="9"/>
        <v>218.55688218995647</v>
      </c>
      <c r="P47" s="575">
        <f t="shared" si="9"/>
        <v>211.40235879278021</v>
      </c>
      <c r="Q47" s="575">
        <f t="shared" si="10"/>
        <v>209.77442641096206</v>
      </c>
      <c r="R47" s="575">
        <f t="shared" si="10"/>
        <v>185.59193245846237</v>
      </c>
      <c r="S47" s="575">
        <f t="shared" si="10"/>
        <v>189.34128121623681</v>
      </c>
      <c r="T47" s="575">
        <f t="shared" si="10"/>
        <v>191.89667350090764</v>
      </c>
      <c r="U47" s="575">
        <f t="shared" si="10"/>
        <v>193.7647035603693</v>
      </c>
      <c r="V47" s="575">
        <f t="shared" si="10"/>
        <v>195.12482916955031</v>
      </c>
      <c r="W47" s="575">
        <f t="shared" si="10"/>
        <v>196.62683884169036</v>
      </c>
      <c r="X47" s="575">
        <f t="shared" si="10"/>
        <v>198.09879148521944</v>
      </c>
      <c r="Y47" s="575">
        <f t="shared" si="10"/>
        <v>199.45302491196364</v>
      </c>
      <c r="Z47" s="575">
        <f t="shared" si="10"/>
        <v>200.87505198759001</v>
      </c>
      <c r="AA47" s="575">
        <f t="shared" si="11"/>
        <v>202.2205608786212</v>
      </c>
      <c r="AB47" s="575">
        <f t="shared" si="11"/>
        <v>201.88380274019806</v>
      </c>
      <c r="AC47" s="575">
        <f t="shared" si="11"/>
        <v>201.54623919904876</v>
      </c>
      <c r="AD47" s="575">
        <f t="shared" si="11"/>
        <v>201.210069400549</v>
      </c>
      <c r="AE47" s="575">
        <f t="shared" si="11"/>
        <v>200.87305524503421</v>
      </c>
      <c r="AF47" s="575">
        <f t="shared" si="11"/>
        <v>200.53614745563073</v>
      </c>
      <c r="AG47" s="575">
        <f t="shared" si="11"/>
        <v>200.19822119968293</v>
      </c>
      <c r="AH47" s="575">
        <f t="shared" si="11"/>
        <v>199.86148578076435</v>
      </c>
      <c r="AI47" s="575">
        <f t="shared" si="11"/>
        <v>199.52394683801421</v>
      </c>
      <c r="AJ47" s="575">
        <f t="shared" si="11"/>
        <v>199.18742961666089</v>
      </c>
      <c r="AK47" s="575">
        <f t="shared" si="12"/>
        <v>198.85058033081916</v>
      </c>
      <c r="AL47" s="575">
        <f t="shared" si="12"/>
        <v>198.51373159973446</v>
      </c>
      <c r="AM47" s="575">
        <f t="shared" si="12"/>
        <v>198.1803592197424</v>
      </c>
      <c r="AN47" s="575">
        <f t="shared" si="12"/>
        <v>197.84699315645017</v>
      </c>
      <c r="AO47" s="575">
        <f t="shared" si="12"/>
        <v>197.51363341793402</v>
      </c>
      <c r="AP47" s="575">
        <f t="shared" si="12"/>
        <v>197.18028001228058</v>
      </c>
      <c r="AQ47" s="575">
        <f t="shared" si="12"/>
        <v>196.84693294758685</v>
      </c>
      <c r="AR47" s="575">
        <f t="shared" si="12"/>
        <v>196.51359223196022</v>
      </c>
      <c r="AS47" s="575">
        <f t="shared" si="12"/>
        <v>196.18025787351826</v>
      </c>
      <c r="AT47" s="575">
        <f t="shared" si="12"/>
        <v>195.84692988038913</v>
      </c>
      <c r="AU47" s="575">
        <f t="shared" si="12"/>
        <v>195.51360826071124</v>
      </c>
      <c r="AV47" s="621"/>
      <c r="AW47" s="621"/>
      <c r="AX47" s="621"/>
      <c r="AY47" s="621"/>
      <c r="AZ47" s="616"/>
      <c r="BA47" s="616"/>
      <c r="BB47" s="616"/>
      <c r="BC47" s="616"/>
      <c r="BD47" s="616"/>
      <c r="BE47" s="616"/>
      <c r="BF47" s="616"/>
      <c r="BG47" s="616"/>
      <c r="BH47" s="616"/>
      <c r="BI47" s="616"/>
      <c r="BJ47" s="616"/>
    </row>
    <row r="48" spans="2:66" ht="15">
      <c r="B48" s="10" t="str">
        <f>Processes!D30</f>
        <v>IMPSNG1</v>
      </c>
      <c r="C48" s="10" t="str">
        <f>Processes!E30</f>
        <v>Import technology - Bio Synt. Nat. Gas G1</v>
      </c>
      <c r="D48" s="263"/>
      <c r="E48" s="263" t="str">
        <f>Commodities!D35</f>
        <v>SNG1</v>
      </c>
      <c r="F48" s="108" t="str">
        <f t="shared" si="4"/>
        <v>MKr19</v>
      </c>
      <c r="G48" s="575">
        <f t="shared" si="9"/>
        <v>177.6</v>
      </c>
      <c r="H48" s="575">
        <f t="shared" si="9"/>
        <v>184.4</v>
      </c>
      <c r="I48" s="575">
        <f t="shared" si="9"/>
        <v>220.4</v>
      </c>
      <c r="J48" s="575">
        <f t="shared" si="9"/>
        <v>216.8</v>
      </c>
      <c r="K48" s="575">
        <f t="shared" si="9"/>
        <v>182.8</v>
      </c>
      <c r="L48" s="575">
        <f t="shared" si="9"/>
        <v>176</v>
      </c>
      <c r="M48" s="575">
        <f t="shared" si="9"/>
        <v>147.19999999999999</v>
      </c>
      <c r="N48" s="575">
        <f t="shared" si="9"/>
        <v>147.6</v>
      </c>
      <c r="O48" s="575">
        <f t="shared" si="9"/>
        <v>213.68873352740101</v>
      </c>
      <c r="P48" s="575">
        <f t="shared" si="9"/>
        <v>137.04404496248185</v>
      </c>
      <c r="Q48" s="575">
        <f t="shared" si="10"/>
        <v>133.59139994592903</v>
      </c>
      <c r="R48" s="575">
        <f t="shared" si="10"/>
        <v>126.1011601017528</v>
      </c>
      <c r="S48" s="575">
        <f t="shared" si="10"/>
        <v>131.05019448616758</v>
      </c>
      <c r="T48" s="575">
        <f t="shared" si="10"/>
        <v>133.47075325150186</v>
      </c>
      <c r="U48" s="575">
        <f t="shared" si="10"/>
        <v>134.26849568144829</v>
      </c>
      <c r="V48" s="575">
        <f t="shared" si="10"/>
        <v>134.02433385165466</v>
      </c>
      <c r="W48" s="575">
        <f t="shared" si="10"/>
        <v>133.87055681721625</v>
      </c>
      <c r="X48" s="575">
        <f t="shared" si="10"/>
        <v>133.77178834492668</v>
      </c>
      <c r="Y48" s="575">
        <f t="shared" si="10"/>
        <v>133.68719836181384</v>
      </c>
      <c r="Z48" s="575">
        <f t="shared" si="10"/>
        <v>133.65688099208921</v>
      </c>
      <c r="AA48" s="575">
        <f t="shared" si="11"/>
        <v>133.64861044163953</v>
      </c>
      <c r="AB48" s="575">
        <f t="shared" si="11"/>
        <v>133.83295335259353</v>
      </c>
      <c r="AC48" s="575">
        <f t="shared" si="11"/>
        <v>134.01729626354754</v>
      </c>
      <c r="AD48" s="575">
        <f t="shared" si="11"/>
        <v>134.20163917450151</v>
      </c>
      <c r="AE48" s="575">
        <f t="shared" si="11"/>
        <v>134.38598208545548</v>
      </c>
      <c r="AF48" s="575">
        <f t="shared" si="11"/>
        <v>134.57032499640951</v>
      </c>
      <c r="AG48" s="575">
        <f t="shared" si="11"/>
        <v>134.75466790736351</v>
      </c>
      <c r="AH48" s="575">
        <f t="shared" si="11"/>
        <v>134.93901081831746</v>
      </c>
      <c r="AI48" s="575">
        <f t="shared" si="11"/>
        <v>135.12335372927146</v>
      </c>
      <c r="AJ48" s="575">
        <f t="shared" si="11"/>
        <v>135.3076966402254</v>
      </c>
      <c r="AK48" s="575">
        <f t="shared" si="12"/>
        <v>135.4920395511794</v>
      </c>
      <c r="AL48" s="575">
        <f t="shared" si="12"/>
        <v>135.6763824621334</v>
      </c>
      <c r="AM48" s="575">
        <f t="shared" si="12"/>
        <v>135.86072537308738</v>
      </c>
      <c r="AN48" s="575">
        <f t="shared" si="12"/>
        <v>136.04506828404135</v>
      </c>
      <c r="AO48" s="575">
        <f t="shared" si="12"/>
        <v>136.22941119499535</v>
      </c>
      <c r="AP48" s="575">
        <f t="shared" si="12"/>
        <v>136.41375410594935</v>
      </c>
      <c r="AQ48" s="575">
        <f t="shared" si="12"/>
        <v>136.59809701690335</v>
      </c>
      <c r="AR48" s="575">
        <f t="shared" si="12"/>
        <v>136.7824399278573</v>
      </c>
      <c r="AS48" s="575">
        <f t="shared" si="12"/>
        <v>136.96678283881133</v>
      </c>
      <c r="AT48" s="575">
        <f t="shared" si="12"/>
        <v>137.15112574976527</v>
      </c>
      <c r="AU48" s="575">
        <f t="shared" si="12"/>
        <v>137.3354686607193</v>
      </c>
      <c r="AV48" s="621"/>
      <c r="AW48" s="621"/>
      <c r="AX48" s="621"/>
      <c r="AY48" s="621"/>
      <c r="AZ48" s="616"/>
      <c r="BA48" s="616"/>
      <c r="BB48" s="616"/>
      <c r="BC48" s="616"/>
      <c r="BD48" s="616"/>
      <c r="BE48" s="616"/>
      <c r="BF48" s="616"/>
      <c r="BG48" s="616"/>
      <c r="BH48" s="616"/>
      <c r="BI48" s="616"/>
      <c r="BJ48" s="616"/>
    </row>
    <row r="49" spans="2:107" ht="15">
      <c r="B49" s="10" t="str">
        <f>Processes!D31</f>
        <v>IMPSNG2</v>
      </c>
      <c r="C49" s="10" t="str">
        <f>Processes!E31</f>
        <v>Import technology - Bio Synt. Nat. Gas G2</v>
      </c>
      <c r="D49" s="263"/>
      <c r="E49" s="263" t="str">
        <f>Commodities!D36</f>
        <v>SNG2</v>
      </c>
      <c r="F49" s="108" t="str">
        <f t="shared" si="4"/>
        <v>MKr19</v>
      </c>
      <c r="G49" s="575">
        <f t="shared" si="9"/>
        <v>195.36</v>
      </c>
      <c r="H49" s="575">
        <f t="shared" si="9"/>
        <v>202.84000000000003</v>
      </c>
      <c r="I49" s="575">
        <f t="shared" si="9"/>
        <v>242.44000000000003</v>
      </c>
      <c r="J49" s="575">
        <f t="shared" si="9"/>
        <v>238.48000000000002</v>
      </c>
      <c r="K49" s="575">
        <f t="shared" si="9"/>
        <v>201.08000000000004</v>
      </c>
      <c r="L49" s="575">
        <f t="shared" si="9"/>
        <v>193.60000000000002</v>
      </c>
      <c r="M49" s="575">
        <f t="shared" si="9"/>
        <v>161.91999999999999</v>
      </c>
      <c r="N49" s="575">
        <f t="shared" si="9"/>
        <v>162.36000000000001</v>
      </c>
      <c r="O49" s="575">
        <f t="shared" si="9"/>
        <v>235.05760688014112</v>
      </c>
      <c r="P49" s="575">
        <f t="shared" si="9"/>
        <v>150.74844945873005</v>
      </c>
      <c r="Q49" s="575">
        <f t="shared" si="10"/>
        <v>146.95053994052194</v>
      </c>
      <c r="R49" s="575">
        <f t="shared" si="10"/>
        <v>138.7112761119281</v>
      </c>
      <c r="S49" s="575">
        <f t="shared" si="10"/>
        <v>144.15521393478434</v>
      </c>
      <c r="T49" s="575">
        <f t="shared" si="10"/>
        <v>146.81782857665206</v>
      </c>
      <c r="U49" s="575">
        <f t="shared" si="10"/>
        <v>147.69534524959312</v>
      </c>
      <c r="V49" s="575">
        <f t="shared" si="10"/>
        <v>147.42676723682013</v>
      </c>
      <c r="W49" s="575">
        <f t="shared" si="10"/>
        <v>147.2576124989379</v>
      </c>
      <c r="X49" s="575">
        <f t="shared" si="10"/>
        <v>147.14896717941934</v>
      </c>
      <c r="Y49" s="575">
        <f t="shared" si="10"/>
        <v>147.05591819799523</v>
      </c>
      <c r="Z49" s="575">
        <f t="shared" si="10"/>
        <v>147.02256909129815</v>
      </c>
      <c r="AA49" s="575">
        <f t="shared" si="11"/>
        <v>147.01347148580351</v>
      </c>
      <c r="AB49" s="575">
        <f t="shared" si="11"/>
        <v>147.2162486878529</v>
      </c>
      <c r="AC49" s="575">
        <f t="shared" si="11"/>
        <v>147.41902588990231</v>
      </c>
      <c r="AD49" s="575">
        <f t="shared" si="11"/>
        <v>147.62180309195168</v>
      </c>
      <c r="AE49" s="575">
        <f t="shared" si="11"/>
        <v>147.82458029400104</v>
      </c>
      <c r="AF49" s="575">
        <f t="shared" si="11"/>
        <v>148.02735749605048</v>
      </c>
      <c r="AG49" s="575">
        <f t="shared" si="11"/>
        <v>148.23013469809987</v>
      </c>
      <c r="AH49" s="575">
        <f t="shared" si="11"/>
        <v>148.43291190014921</v>
      </c>
      <c r="AI49" s="575">
        <f t="shared" si="11"/>
        <v>148.63568910219863</v>
      </c>
      <c r="AJ49" s="575">
        <f t="shared" si="11"/>
        <v>148.83846630424796</v>
      </c>
      <c r="AK49" s="575">
        <f t="shared" si="12"/>
        <v>149.04124350629735</v>
      </c>
      <c r="AL49" s="575">
        <f t="shared" si="12"/>
        <v>149.24402070834677</v>
      </c>
      <c r="AM49" s="575">
        <f t="shared" si="12"/>
        <v>149.44679791039613</v>
      </c>
      <c r="AN49" s="575">
        <f t="shared" si="12"/>
        <v>149.64957511244549</v>
      </c>
      <c r="AO49" s="575">
        <f t="shared" si="12"/>
        <v>149.85235231449491</v>
      </c>
      <c r="AP49" s="575">
        <f t="shared" si="12"/>
        <v>150.0551295165443</v>
      </c>
      <c r="AQ49" s="575">
        <f t="shared" si="12"/>
        <v>150.25790671859369</v>
      </c>
      <c r="AR49" s="575">
        <f t="shared" si="12"/>
        <v>150.46068392064305</v>
      </c>
      <c r="AS49" s="575">
        <f t="shared" si="12"/>
        <v>150.66346112269247</v>
      </c>
      <c r="AT49" s="575">
        <f t="shared" si="12"/>
        <v>150.8662383247418</v>
      </c>
      <c r="AU49" s="575">
        <f t="shared" si="12"/>
        <v>151.06901552679125</v>
      </c>
      <c r="AV49" s="621"/>
      <c r="AW49" s="621"/>
      <c r="AX49" s="621"/>
      <c r="AY49" s="621"/>
      <c r="AZ49" s="616"/>
      <c r="BA49" s="616"/>
      <c r="BB49" s="616"/>
      <c r="BC49" s="616"/>
      <c r="BD49" s="616"/>
      <c r="BE49" s="616"/>
      <c r="BF49" s="616"/>
      <c r="BG49" s="616"/>
      <c r="BH49" s="616"/>
      <c r="BI49" s="616"/>
      <c r="BJ49" s="616"/>
    </row>
    <row r="50" spans="2:107" ht="15">
      <c r="B50" s="10" t="str">
        <f>Processes!D32</f>
        <v>IMPDSB1</v>
      </c>
      <c r="C50" s="10" t="str">
        <f>Processes!E32</f>
        <v>Import technology - Biodiesel G1</v>
      </c>
      <c r="D50" s="263"/>
      <c r="E50" s="263" t="str">
        <f>Commodities!D38</f>
        <v>DSB1</v>
      </c>
      <c r="F50" s="108" t="str">
        <f t="shared" si="4"/>
        <v>MKr19</v>
      </c>
      <c r="G50" s="575">
        <f>IFERROR(INDEX($G$113:$AU$169,MATCH($E50,$E$113:$E$169,0),MATCH(G$23,$G$112:$AU$112,0)),0)</f>
        <v>169.073753033598</v>
      </c>
      <c r="H50" s="575">
        <f t="shared" si="9"/>
        <v>181.073753033598</v>
      </c>
      <c r="I50" s="575">
        <f t="shared" si="9"/>
        <v>197.87375303359798</v>
      </c>
      <c r="J50" s="575">
        <f t="shared" si="9"/>
        <v>186.87375303359801</v>
      </c>
      <c r="K50" s="575">
        <f t="shared" si="9"/>
        <v>177.17375303359799</v>
      </c>
      <c r="L50" s="575">
        <f t="shared" si="9"/>
        <v>140.67375303359799</v>
      </c>
      <c r="M50" s="575">
        <f t="shared" si="9"/>
        <v>137.67375303359799</v>
      </c>
      <c r="N50" s="575">
        <f t="shared" si="9"/>
        <v>141.87375303359801</v>
      </c>
      <c r="O50" s="575">
        <f t="shared" si="9"/>
        <v>165.17482882832152</v>
      </c>
      <c r="P50" s="575">
        <f t="shared" si="9"/>
        <v>159.26071664907036</v>
      </c>
      <c r="Q50" s="575">
        <f t="shared" si="10"/>
        <v>157.78077812014482</v>
      </c>
      <c r="R50" s="575">
        <f t="shared" si="10"/>
        <v>135.79669270878142</v>
      </c>
      <c r="S50" s="575">
        <f t="shared" si="10"/>
        <v>139.20519157948544</v>
      </c>
      <c r="T50" s="575">
        <f t="shared" si="10"/>
        <v>141.52827547464079</v>
      </c>
      <c r="U50" s="575">
        <f t="shared" si="10"/>
        <v>143.22648461960594</v>
      </c>
      <c r="V50" s="575">
        <f t="shared" si="10"/>
        <v>144.46296244613413</v>
      </c>
      <c r="W50" s="575">
        <f t="shared" si="10"/>
        <v>145.82842578444325</v>
      </c>
      <c r="X50" s="575">
        <f t="shared" si="10"/>
        <v>147.16656455128788</v>
      </c>
      <c r="Y50" s="575">
        <f t="shared" si="10"/>
        <v>148.39768584832805</v>
      </c>
      <c r="Z50" s="575">
        <f t="shared" si="10"/>
        <v>149.69043773526113</v>
      </c>
      <c r="AA50" s="575">
        <f t="shared" si="11"/>
        <v>150.91362763619856</v>
      </c>
      <c r="AB50" s="575">
        <f t="shared" si="11"/>
        <v>150.6074838739957</v>
      </c>
      <c r="AC50" s="575">
        <f t="shared" si="11"/>
        <v>150.30060792749632</v>
      </c>
      <c r="AD50" s="575">
        <f t="shared" si="11"/>
        <v>149.9949990197693</v>
      </c>
      <c r="AE50" s="575">
        <f t="shared" si="11"/>
        <v>149.68862251475585</v>
      </c>
      <c r="AF50" s="575">
        <f t="shared" si="11"/>
        <v>149.3823427062072</v>
      </c>
      <c r="AG50" s="575">
        <f t="shared" si="11"/>
        <v>149.07513701898196</v>
      </c>
      <c r="AH50" s="575">
        <f t="shared" si="11"/>
        <v>148.76901391087415</v>
      </c>
      <c r="AI50" s="575">
        <f t="shared" si="11"/>
        <v>148.46216032655585</v>
      </c>
      <c r="AJ50" s="575">
        <f t="shared" si="11"/>
        <v>148.15623557987098</v>
      </c>
      <c r="AK50" s="575">
        <f t="shared" si="12"/>
        <v>147.8500089563785</v>
      </c>
      <c r="AL50" s="575">
        <f t="shared" si="12"/>
        <v>147.54378283721061</v>
      </c>
      <c r="AM50" s="575">
        <f t="shared" si="12"/>
        <v>147.24071703721785</v>
      </c>
      <c r="AN50" s="575">
        <f t="shared" si="12"/>
        <v>146.93765697967942</v>
      </c>
      <c r="AO50" s="575">
        <f t="shared" si="12"/>
        <v>146.63460267193747</v>
      </c>
      <c r="AP50" s="575">
        <f t="shared" si="12"/>
        <v>146.33155412134346</v>
      </c>
      <c r="AQ50" s="575">
        <f t="shared" si="12"/>
        <v>146.02851133525826</v>
      </c>
      <c r="AR50" s="575">
        <f t="shared" si="12"/>
        <v>145.72547432105219</v>
      </c>
      <c r="AS50" s="575">
        <f t="shared" si="12"/>
        <v>145.42244308610498</v>
      </c>
      <c r="AT50" s="575">
        <f t="shared" si="12"/>
        <v>145.11941763780575</v>
      </c>
      <c r="AU50" s="575">
        <f t="shared" si="12"/>
        <v>144.81639798355314</v>
      </c>
      <c r="AV50" s="621"/>
      <c r="AW50" s="621"/>
      <c r="AX50" s="621"/>
      <c r="AY50" s="621"/>
      <c r="AZ50" s="616"/>
      <c r="BA50" s="616"/>
      <c r="BB50" s="616"/>
      <c r="BC50" s="616"/>
      <c r="BD50" s="616"/>
      <c r="BE50" s="616"/>
      <c r="BF50" s="616"/>
      <c r="BG50" s="616"/>
      <c r="BH50" s="616"/>
      <c r="BI50" s="616"/>
      <c r="BJ50" s="616"/>
    </row>
    <row r="51" spans="2:107" ht="15">
      <c r="B51" s="10" t="str">
        <f>Processes!D33</f>
        <v>IMPDSB2</v>
      </c>
      <c r="C51" s="10" t="str">
        <f>Processes!E33</f>
        <v>Import technology - Biodiesel G2</v>
      </c>
      <c r="D51" s="263"/>
      <c r="E51" s="263" t="str">
        <f>Commodities!D39</f>
        <v>DSB2</v>
      </c>
      <c r="F51" s="108" t="str">
        <f t="shared" si="4"/>
        <v>MKr19</v>
      </c>
      <c r="G51" s="575">
        <f t="shared" si="9"/>
        <v>185.98112833695782</v>
      </c>
      <c r="H51" s="575">
        <f t="shared" si="9"/>
        <v>199.18112833695781</v>
      </c>
      <c r="I51" s="575">
        <f t="shared" si="9"/>
        <v>217.6611283369578</v>
      </c>
      <c r="J51" s="575">
        <f t="shared" si="9"/>
        <v>205.56112833695784</v>
      </c>
      <c r="K51" s="575">
        <f t="shared" si="9"/>
        <v>194.89112833695779</v>
      </c>
      <c r="L51" s="575">
        <f t="shared" si="9"/>
        <v>154.74112833695781</v>
      </c>
      <c r="M51" s="575">
        <f t="shared" si="9"/>
        <v>151.4411283369578</v>
      </c>
      <c r="N51" s="575">
        <f t="shared" si="9"/>
        <v>156.06112833695781</v>
      </c>
      <c r="O51" s="575">
        <f t="shared" si="9"/>
        <v>181.69231171115368</v>
      </c>
      <c r="P51" s="575">
        <f t="shared" si="9"/>
        <v>175.18678831397742</v>
      </c>
      <c r="Q51" s="575">
        <f t="shared" si="10"/>
        <v>173.5588559321593</v>
      </c>
      <c r="R51" s="575">
        <f t="shared" si="10"/>
        <v>149.37636197965958</v>
      </c>
      <c r="S51" s="575">
        <f t="shared" si="10"/>
        <v>153.12571073743399</v>
      </c>
      <c r="T51" s="575">
        <f t="shared" si="10"/>
        <v>155.68110302210488</v>
      </c>
      <c r="U51" s="575">
        <f t="shared" si="10"/>
        <v>157.54913308156654</v>
      </c>
      <c r="V51" s="575">
        <f t="shared" si="10"/>
        <v>158.90925869074755</v>
      </c>
      <c r="W51" s="575">
        <f t="shared" si="10"/>
        <v>160.4112683628876</v>
      </c>
      <c r="X51" s="575">
        <f t="shared" si="10"/>
        <v>161.88322100641668</v>
      </c>
      <c r="Y51" s="575">
        <f t="shared" si="10"/>
        <v>163.23745443316088</v>
      </c>
      <c r="Z51" s="575">
        <f t="shared" si="10"/>
        <v>164.65948150878725</v>
      </c>
      <c r="AA51" s="575">
        <f t="shared" si="11"/>
        <v>166.00499039981841</v>
      </c>
      <c r="AB51" s="575">
        <f t="shared" si="11"/>
        <v>165.66823226139527</v>
      </c>
      <c r="AC51" s="575">
        <f t="shared" si="11"/>
        <v>165.33066872024597</v>
      </c>
      <c r="AD51" s="575">
        <f t="shared" si="11"/>
        <v>164.99449892174624</v>
      </c>
      <c r="AE51" s="575">
        <f t="shared" si="11"/>
        <v>164.65748476623145</v>
      </c>
      <c r="AF51" s="575">
        <f t="shared" si="11"/>
        <v>164.32057697682794</v>
      </c>
      <c r="AG51" s="575">
        <f t="shared" si="11"/>
        <v>163.98265072088017</v>
      </c>
      <c r="AH51" s="575">
        <f t="shared" si="11"/>
        <v>163.64591530196157</v>
      </c>
      <c r="AI51" s="575">
        <f t="shared" si="11"/>
        <v>163.30837635921145</v>
      </c>
      <c r="AJ51" s="575">
        <f t="shared" si="11"/>
        <v>162.9718591378581</v>
      </c>
      <c r="AK51" s="575">
        <f t="shared" si="12"/>
        <v>162.63500985201637</v>
      </c>
      <c r="AL51" s="575">
        <f t="shared" si="12"/>
        <v>162.2981611209317</v>
      </c>
      <c r="AM51" s="575">
        <f t="shared" si="12"/>
        <v>161.96478874093964</v>
      </c>
      <c r="AN51" s="575">
        <f t="shared" si="12"/>
        <v>161.63142267764738</v>
      </c>
      <c r="AO51" s="575">
        <f t="shared" si="12"/>
        <v>161.29806293913123</v>
      </c>
      <c r="AP51" s="575">
        <f t="shared" si="12"/>
        <v>160.96470953347782</v>
      </c>
      <c r="AQ51" s="575">
        <f t="shared" si="12"/>
        <v>160.63136246878409</v>
      </c>
      <c r="AR51" s="575">
        <f t="shared" si="12"/>
        <v>160.29802175315743</v>
      </c>
      <c r="AS51" s="575">
        <f t="shared" si="12"/>
        <v>159.9646873947155</v>
      </c>
      <c r="AT51" s="575">
        <f t="shared" si="12"/>
        <v>159.63135940158634</v>
      </c>
      <c r="AU51" s="575">
        <f t="shared" si="12"/>
        <v>159.29803778190848</v>
      </c>
      <c r="AV51" s="621"/>
      <c r="AW51" s="621"/>
      <c r="AX51" s="621"/>
      <c r="AY51" s="621"/>
      <c r="AZ51" s="616"/>
      <c r="BA51" s="616"/>
      <c r="BB51" s="616"/>
      <c r="BC51" s="616"/>
      <c r="BD51" s="616"/>
      <c r="BE51" s="622"/>
      <c r="BF51" s="616"/>
      <c r="BG51" s="616"/>
      <c r="BH51" s="616"/>
      <c r="BI51" s="616"/>
      <c r="BJ51" s="616"/>
    </row>
    <row r="52" spans="2:107" ht="15">
      <c r="B52" s="10" t="str">
        <f>Processes!D34</f>
        <v>IMPGSB1</v>
      </c>
      <c r="C52" s="10" t="str">
        <f>Processes!E34</f>
        <v>Import technology - Bioethanol G1</v>
      </c>
      <c r="D52" s="263"/>
      <c r="E52" s="263" t="str">
        <f>Commodities!D41</f>
        <v>GSB1</v>
      </c>
      <c r="F52" s="108" t="str">
        <f t="shared" si="4"/>
        <v>MKr19</v>
      </c>
      <c r="G52" s="575">
        <f t="shared" si="9"/>
        <v>191.9869989234187</v>
      </c>
      <c r="H52" s="575">
        <f t="shared" si="9"/>
        <v>222.08699892341872</v>
      </c>
      <c r="I52" s="575">
        <f t="shared" si="9"/>
        <v>235.88699892341867</v>
      </c>
      <c r="J52" s="575">
        <f t="shared" si="9"/>
        <v>221.18699892341868</v>
      </c>
      <c r="K52" s="575">
        <f t="shared" si="9"/>
        <v>213.9869989234187</v>
      </c>
      <c r="L52" s="575">
        <f t="shared" si="9"/>
        <v>177.3869989234187</v>
      </c>
      <c r="M52" s="575">
        <f t="shared" si="9"/>
        <v>174.4869989234187</v>
      </c>
      <c r="N52" s="575">
        <f t="shared" si="9"/>
        <v>178.58699892341872</v>
      </c>
      <c r="O52" s="575">
        <f t="shared" si="9"/>
        <v>201.58807471814222</v>
      </c>
      <c r="P52" s="575">
        <f t="shared" si="9"/>
        <v>196.93396253889108</v>
      </c>
      <c r="Q52" s="575">
        <f t="shared" si="10"/>
        <v>195.45402400996551</v>
      </c>
      <c r="R52" s="575">
        <f t="shared" si="10"/>
        <v>173.46993859860214</v>
      </c>
      <c r="S52" s="575">
        <f t="shared" si="10"/>
        <v>176.87843746930616</v>
      </c>
      <c r="T52" s="575">
        <f t="shared" si="10"/>
        <v>179.20152136446148</v>
      </c>
      <c r="U52" s="575">
        <f t="shared" si="10"/>
        <v>180.89973050942663</v>
      </c>
      <c r="V52" s="575">
        <f t="shared" si="10"/>
        <v>182.13620833595482</v>
      </c>
      <c r="W52" s="575">
        <f t="shared" si="10"/>
        <v>183.50167167426395</v>
      </c>
      <c r="X52" s="575">
        <f t="shared" si="10"/>
        <v>184.83981044110857</v>
      </c>
      <c r="Y52" s="575">
        <f t="shared" si="10"/>
        <v>186.07093173814874</v>
      </c>
      <c r="Z52" s="575">
        <f t="shared" si="10"/>
        <v>187.36368362508182</v>
      </c>
      <c r="AA52" s="575">
        <f t="shared" si="11"/>
        <v>188.58687352601925</v>
      </c>
      <c r="AB52" s="575">
        <f t="shared" si="11"/>
        <v>188.2807297638164</v>
      </c>
      <c r="AC52" s="575">
        <f t="shared" si="11"/>
        <v>187.97385381731704</v>
      </c>
      <c r="AD52" s="575">
        <f t="shared" si="11"/>
        <v>187.66824490958999</v>
      </c>
      <c r="AE52" s="575">
        <f t="shared" si="11"/>
        <v>187.36186840457654</v>
      </c>
      <c r="AF52" s="575">
        <f t="shared" si="11"/>
        <v>187.05558859602792</v>
      </c>
      <c r="AG52" s="575">
        <f t="shared" si="11"/>
        <v>186.74838290880265</v>
      </c>
      <c r="AH52" s="575">
        <f t="shared" si="11"/>
        <v>186.44225980069484</v>
      </c>
      <c r="AI52" s="575">
        <f t="shared" si="11"/>
        <v>186.13540621637654</v>
      </c>
      <c r="AJ52" s="575">
        <f t="shared" si="11"/>
        <v>185.8294814696917</v>
      </c>
      <c r="AK52" s="575">
        <f t="shared" si="12"/>
        <v>185.52325484619922</v>
      </c>
      <c r="AL52" s="575">
        <f t="shared" si="12"/>
        <v>185.21702872703131</v>
      </c>
      <c r="AM52" s="575">
        <f t="shared" si="12"/>
        <v>184.91396292703854</v>
      </c>
      <c r="AN52" s="575">
        <f t="shared" si="12"/>
        <v>184.61090286950014</v>
      </c>
      <c r="AO52" s="575">
        <f t="shared" si="12"/>
        <v>184.30784856175819</v>
      </c>
      <c r="AP52" s="575">
        <f t="shared" si="12"/>
        <v>184.00480001116415</v>
      </c>
      <c r="AQ52" s="575">
        <f t="shared" si="12"/>
        <v>183.70175722507895</v>
      </c>
      <c r="AR52" s="575">
        <f t="shared" si="12"/>
        <v>183.39872021087291</v>
      </c>
      <c r="AS52" s="575">
        <f t="shared" si="12"/>
        <v>183.09568897592567</v>
      </c>
      <c r="AT52" s="575">
        <f t="shared" si="12"/>
        <v>182.79266352762647</v>
      </c>
      <c r="AU52" s="575">
        <f t="shared" si="12"/>
        <v>182.48964387337384</v>
      </c>
      <c r="AV52" s="621"/>
      <c r="AW52" s="621"/>
      <c r="AX52" s="621"/>
      <c r="AY52" s="621"/>
      <c r="AZ52" s="616"/>
      <c r="BA52" s="616"/>
      <c r="BB52" s="616"/>
      <c r="BC52" s="616"/>
      <c r="BD52" s="616"/>
      <c r="BE52" s="616"/>
      <c r="BF52" s="616"/>
      <c r="BG52" s="616"/>
      <c r="BH52" s="616"/>
      <c r="BI52" s="616"/>
      <c r="BJ52" s="616"/>
    </row>
    <row r="53" spans="2:107" ht="15">
      <c r="B53" s="107" t="str">
        <f>Processes!D35</f>
        <v>IMPGSB2</v>
      </c>
      <c r="C53" s="107" t="str">
        <f>Processes!E35</f>
        <v>Import technology - Bioethanol G2</v>
      </c>
      <c r="D53" s="265"/>
      <c r="E53" s="263" t="str">
        <f>Commodities!D42</f>
        <v>GSB2</v>
      </c>
      <c r="F53" s="108" t="str">
        <f t="shared" si="4"/>
        <v>MKr19</v>
      </c>
      <c r="G53" s="575">
        <f t="shared" si="9"/>
        <v>211.18569881576059</v>
      </c>
      <c r="H53" s="575">
        <f t="shared" si="9"/>
        <v>223.03699892341871</v>
      </c>
      <c r="I53" s="575">
        <f t="shared" si="9"/>
        <v>236.83699892341866</v>
      </c>
      <c r="J53" s="575">
        <f t="shared" si="9"/>
        <v>222.13699892341867</v>
      </c>
      <c r="K53" s="575">
        <f t="shared" si="9"/>
        <v>214.93699892341868</v>
      </c>
      <c r="L53" s="575">
        <f t="shared" si="9"/>
        <v>178.33699892341869</v>
      </c>
      <c r="M53" s="575">
        <f t="shared" si="9"/>
        <v>175.43699892341868</v>
      </c>
      <c r="N53" s="575">
        <f t="shared" si="9"/>
        <v>179.53699892341871</v>
      </c>
      <c r="O53" s="575">
        <f t="shared" si="9"/>
        <v>202.53807471814221</v>
      </c>
      <c r="P53" s="575">
        <f t="shared" si="9"/>
        <v>197.88396253889107</v>
      </c>
      <c r="Q53" s="575">
        <f t="shared" si="10"/>
        <v>196.4040240099655</v>
      </c>
      <c r="R53" s="575">
        <f t="shared" si="10"/>
        <v>174.41993859860213</v>
      </c>
      <c r="S53" s="575">
        <f t="shared" si="10"/>
        <v>177.82843746930615</v>
      </c>
      <c r="T53" s="575">
        <f t="shared" si="10"/>
        <v>180.15152136446147</v>
      </c>
      <c r="U53" s="575">
        <f t="shared" si="10"/>
        <v>181.84973050942662</v>
      </c>
      <c r="V53" s="575">
        <f t="shared" si="10"/>
        <v>183.08620833595481</v>
      </c>
      <c r="W53" s="575">
        <f t="shared" si="10"/>
        <v>184.45167167426393</v>
      </c>
      <c r="X53" s="575">
        <f t="shared" si="10"/>
        <v>185.78981044110856</v>
      </c>
      <c r="Y53" s="575">
        <f t="shared" si="10"/>
        <v>187.02093173814873</v>
      </c>
      <c r="Z53" s="575">
        <f t="shared" si="10"/>
        <v>188.31368362508181</v>
      </c>
      <c r="AA53" s="575">
        <f t="shared" si="11"/>
        <v>189.53687352601924</v>
      </c>
      <c r="AB53" s="575">
        <f t="shared" si="11"/>
        <v>189.23072976381638</v>
      </c>
      <c r="AC53" s="575">
        <f t="shared" si="11"/>
        <v>188.92385381731702</v>
      </c>
      <c r="AD53" s="575">
        <f t="shared" si="11"/>
        <v>188.61824490958998</v>
      </c>
      <c r="AE53" s="575">
        <f t="shared" si="11"/>
        <v>188.31186840457653</v>
      </c>
      <c r="AF53" s="575">
        <f t="shared" si="11"/>
        <v>188.00558859602791</v>
      </c>
      <c r="AG53" s="575">
        <f t="shared" si="11"/>
        <v>187.69838290880264</v>
      </c>
      <c r="AH53" s="575">
        <f t="shared" si="11"/>
        <v>187.39225980069483</v>
      </c>
      <c r="AI53" s="575">
        <f t="shared" si="11"/>
        <v>187.08540621637653</v>
      </c>
      <c r="AJ53" s="575">
        <f t="shared" si="11"/>
        <v>186.77948146969169</v>
      </c>
      <c r="AK53" s="575">
        <f t="shared" si="12"/>
        <v>186.47325484619921</v>
      </c>
      <c r="AL53" s="575">
        <f t="shared" si="12"/>
        <v>186.16702872703129</v>
      </c>
      <c r="AM53" s="575">
        <f t="shared" si="12"/>
        <v>185.86396292703853</v>
      </c>
      <c r="AN53" s="575">
        <f t="shared" si="12"/>
        <v>185.56090286950013</v>
      </c>
      <c r="AO53" s="575">
        <f t="shared" si="12"/>
        <v>185.25784856175818</v>
      </c>
      <c r="AP53" s="575">
        <f t="shared" si="12"/>
        <v>184.95480001116414</v>
      </c>
      <c r="AQ53" s="575">
        <f t="shared" si="12"/>
        <v>184.65175722507894</v>
      </c>
      <c r="AR53" s="575">
        <f t="shared" si="12"/>
        <v>184.3487202108729</v>
      </c>
      <c r="AS53" s="575">
        <f t="shared" si="12"/>
        <v>184.04568897592566</v>
      </c>
      <c r="AT53" s="575">
        <f t="shared" si="12"/>
        <v>183.74266352762646</v>
      </c>
      <c r="AU53" s="575">
        <f t="shared" si="12"/>
        <v>183.43964387337383</v>
      </c>
      <c r="AV53" s="621"/>
      <c r="AW53" s="621"/>
      <c r="AX53" s="621"/>
      <c r="AY53" s="621"/>
      <c r="AZ53" s="616"/>
      <c r="BA53" s="616"/>
      <c r="BB53" s="616"/>
      <c r="BC53" s="616"/>
      <c r="BD53" s="616"/>
      <c r="BE53" s="616"/>
      <c r="BF53" s="616"/>
      <c r="BG53" s="616"/>
      <c r="BH53" s="616"/>
      <c r="BI53" s="616"/>
      <c r="BJ53" s="616"/>
    </row>
    <row r="54" spans="2:107" s="576" customFormat="1" ht="15">
      <c r="B54" s="107" t="str">
        <f>Processes!D36</f>
        <v>IMPMGO</v>
      </c>
      <c r="C54" s="107" t="str">
        <f>Processes!E36</f>
        <v>Import technology - Marine Gas Oil</v>
      </c>
      <c r="D54" s="263"/>
      <c r="E54" s="263" t="str">
        <f>Commodities!D57</f>
        <v>MGO</v>
      </c>
      <c r="F54" s="108" t="str">
        <f t="shared" si="4"/>
        <v>MKr19</v>
      </c>
      <c r="G54" s="575">
        <f t="shared" si="9"/>
        <v>68.2</v>
      </c>
      <c r="H54" s="575">
        <f t="shared" si="9"/>
        <v>102</v>
      </c>
      <c r="I54" s="575">
        <f t="shared" si="9"/>
        <v>96.2</v>
      </c>
      <c r="J54" s="575">
        <f t="shared" si="9"/>
        <v>91.7</v>
      </c>
      <c r="K54" s="575">
        <f t="shared" si="9"/>
        <v>84</v>
      </c>
      <c r="L54" s="575">
        <f t="shared" si="9"/>
        <v>47.5</v>
      </c>
      <c r="M54" s="575">
        <f t="shared" si="9"/>
        <v>44.5</v>
      </c>
      <c r="N54" s="575">
        <f t="shared" si="9"/>
        <v>48.7</v>
      </c>
      <c r="O54" s="575">
        <f t="shared" si="9"/>
        <v>67.735141438725293</v>
      </c>
      <c r="P54" s="575">
        <f t="shared" si="9"/>
        <v>61.821029259474152</v>
      </c>
      <c r="Q54" s="575">
        <f t="shared" si="10"/>
        <v>60.341090730548601</v>
      </c>
      <c r="R54" s="575">
        <f t="shared" si="10"/>
        <v>38.35700531918522</v>
      </c>
      <c r="S54" s="575">
        <f t="shared" si="10"/>
        <v>41.765504189889249</v>
      </c>
      <c r="T54" s="575">
        <f t="shared" si="10"/>
        <v>44.088588085044584</v>
      </c>
      <c r="U54" s="575">
        <f t="shared" si="10"/>
        <v>45.786797230009718</v>
      </c>
      <c r="V54" s="575">
        <f t="shared" si="10"/>
        <v>47.023275056537912</v>
      </c>
      <c r="W54" s="575">
        <f t="shared" si="10"/>
        <v>48.388738394847046</v>
      </c>
      <c r="X54" s="575">
        <f t="shared" si="10"/>
        <v>49.726877161691675</v>
      </c>
      <c r="Y54" s="575">
        <f t="shared" si="10"/>
        <v>50.957998458731836</v>
      </c>
      <c r="Z54" s="575">
        <f t="shared" si="10"/>
        <v>52.250750345664912</v>
      </c>
      <c r="AA54" s="575">
        <f t="shared" si="11"/>
        <v>53.473940246602353</v>
      </c>
      <c r="AB54" s="575">
        <f t="shared" si="11"/>
        <v>53.16779648439951</v>
      </c>
      <c r="AC54" s="575">
        <f t="shared" si="11"/>
        <v>52.860920537900107</v>
      </c>
      <c r="AD54" s="575">
        <f t="shared" si="11"/>
        <v>52.55531163017308</v>
      </c>
      <c r="AE54" s="575">
        <f t="shared" si="11"/>
        <v>52.248935125159633</v>
      </c>
      <c r="AF54" s="575">
        <f t="shared" si="11"/>
        <v>51.942655316610988</v>
      </c>
      <c r="AG54" s="575">
        <f t="shared" si="11"/>
        <v>51.635449629385747</v>
      </c>
      <c r="AH54" s="575">
        <f t="shared" si="11"/>
        <v>51.329326521277956</v>
      </c>
      <c r="AI54" s="575">
        <f t="shared" si="11"/>
        <v>51.022472936959623</v>
      </c>
      <c r="AJ54" s="575">
        <f t="shared" si="11"/>
        <v>50.716548190274779</v>
      </c>
      <c r="AK54" s="575">
        <f t="shared" si="12"/>
        <v>50.410321566782294</v>
      </c>
      <c r="AL54" s="575">
        <f t="shared" si="12"/>
        <v>50.104095447614391</v>
      </c>
      <c r="AM54" s="575">
        <f t="shared" si="12"/>
        <v>49.801029647621633</v>
      </c>
      <c r="AN54" s="575">
        <f t="shared" si="12"/>
        <v>49.497969590083216</v>
      </c>
      <c r="AO54" s="575">
        <f t="shared" si="12"/>
        <v>49.19491528234127</v>
      </c>
      <c r="AP54" s="575">
        <f t="shared" si="12"/>
        <v>48.89186673174725</v>
      </c>
      <c r="AQ54" s="575">
        <f t="shared" si="12"/>
        <v>48.588823945662064</v>
      </c>
      <c r="AR54" s="575">
        <f t="shared" si="12"/>
        <v>48.285786931455988</v>
      </c>
      <c r="AS54" s="575">
        <f t="shared" si="12"/>
        <v>47.982755696508768</v>
      </c>
      <c r="AT54" s="575">
        <f t="shared" si="12"/>
        <v>47.679730248209545</v>
      </c>
      <c r="AU54" s="575">
        <f t="shared" si="12"/>
        <v>47.376710593956936</v>
      </c>
      <c r="AV54" s="621"/>
      <c r="AW54" s="621"/>
      <c r="AX54" s="621"/>
      <c r="AY54" s="621"/>
      <c r="AZ54" s="616"/>
      <c r="BA54" s="616"/>
      <c r="BB54" s="616"/>
      <c r="BC54" s="616"/>
      <c r="BD54" s="616"/>
      <c r="BE54" s="616"/>
      <c r="BF54" s="616"/>
      <c r="BG54" s="616"/>
      <c r="BH54" s="616"/>
      <c r="BI54" s="616"/>
      <c r="BJ54" s="616"/>
    </row>
    <row r="55" spans="2:107" ht="15">
      <c r="B55" s="257" t="str">
        <f>Processes!D37</f>
        <v>MINCRD</v>
      </c>
      <c r="C55" s="257" t="str">
        <f>Processes!E37</f>
        <v>Mining technology - Crude Oil</v>
      </c>
      <c r="D55" s="264"/>
      <c r="E55" s="647" t="s">
        <v>851</v>
      </c>
      <c r="F55" s="108" t="str">
        <f t="shared" si="4"/>
        <v>MKr19</v>
      </c>
      <c r="G55" s="261">
        <f>IFERROR(INDEX($G$113:$AU$169,MATCH($E41,$E$113:$E$169,0),MATCH(G$23,$G$112:$AU$112,0)),0)*$E$180</f>
        <v>72.39</v>
      </c>
      <c r="H55" s="261">
        <f t="shared" ref="H55:AU55" si="13">IFERROR(INDEX($G$113:$AU$169,MATCH($E41,$E$113:$E$169,0),MATCH(H$23,$G$112:$AU$112,0)),0)*$E$180</f>
        <v>100.79499999999999</v>
      </c>
      <c r="I55" s="261">
        <f t="shared" si="13"/>
        <v>107.255</v>
      </c>
      <c r="J55" s="261">
        <f t="shared" si="13"/>
        <v>95.284999999999997</v>
      </c>
      <c r="K55" s="261">
        <f t="shared" si="13"/>
        <v>92.434999999999988</v>
      </c>
      <c r="L55" s="261">
        <f t="shared" si="13"/>
        <v>59.564999999999998</v>
      </c>
      <c r="M55" s="261">
        <f t="shared" si="13"/>
        <v>56.904999999999994</v>
      </c>
      <c r="N55" s="261">
        <f t="shared" si="13"/>
        <v>60.704999999999998</v>
      </c>
      <c r="O55" s="261">
        <f t="shared" si="13"/>
        <v>74.663266513337106</v>
      </c>
      <c r="P55" s="261">
        <f t="shared" si="13"/>
        <v>69.03441780821916</v>
      </c>
      <c r="Q55" s="261">
        <f t="shared" si="13"/>
        <v>67.631970550230122</v>
      </c>
      <c r="R55" s="261">
        <f t="shared" si="13"/>
        <v>46.72206120455769</v>
      </c>
      <c r="S55" s="261">
        <f t="shared" si="13"/>
        <v>49.952257260471079</v>
      </c>
      <c r="T55" s="261">
        <f t="shared" si="13"/>
        <v>52.145468152516102</v>
      </c>
      <c r="U55" s="261">
        <f t="shared" si="13"/>
        <v>53.739968659338345</v>
      </c>
      <c r="V55" s="261">
        <f t="shared" si="13"/>
        <v>54.897107604482805</v>
      </c>
      <c r="W55" s="261">
        <f t="shared" si="13"/>
        <v>56.188956663113622</v>
      </c>
      <c r="X55" s="261">
        <f t="shared" si="13"/>
        <v>57.454144637525566</v>
      </c>
      <c r="Y55" s="261">
        <f t="shared" si="13"/>
        <v>58.618015544439388</v>
      </c>
      <c r="Z55" s="261">
        <f t="shared" si="13"/>
        <v>59.840122211312412</v>
      </c>
      <c r="AA55" s="261">
        <f t="shared" si="13"/>
        <v>60.99866547075451</v>
      </c>
      <c r="AB55" s="261">
        <f t="shared" si="13"/>
        <v>60.706456294846689</v>
      </c>
      <c r="AC55" s="261">
        <f t="shared" si="13"/>
        <v>60.414247118938881</v>
      </c>
      <c r="AD55" s="261">
        <f t="shared" si="13"/>
        <v>60.122037943031081</v>
      </c>
      <c r="AE55" s="261">
        <f t="shared" si="13"/>
        <v>59.829828767123267</v>
      </c>
      <c r="AF55" s="261">
        <f t="shared" si="13"/>
        <v>59.537619591215467</v>
      </c>
      <c r="AG55" s="261">
        <f t="shared" si="13"/>
        <v>59.24541041530766</v>
      </c>
      <c r="AH55" s="261">
        <f t="shared" si="13"/>
        <v>58.95320123939986</v>
      </c>
      <c r="AI55" s="261">
        <f t="shared" si="13"/>
        <v>58.66099206349206</v>
      </c>
      <c r="AJ55" s="261">
        <f t="shared" si="13"/>
        <v>58.368782887584253</v>
      </c>
      <c r="AK55" s="261">
        <f t="shared" si="13"/>
        <v>58.076573711676446</v>
      </c>
      <c r="AL55" s="261">
        <f t="shared" si="13"/>
        <v>57.784364535768646</v>
      </c>
      <c r="AM55" s="261">
        <f t="shared" si="13"/>
        <v>57.492155359860831</v>
      </c>
      <c r="AN55" s="261">
        <f t="shared" si="13"/>
        <v>57.199946183953024</v>
      </c>
      <c r="AO55" s="261">
        <f t="shared" si="13"/>
        <v>56.907737008045224</v>
      </c>
      <c r="AP55" s="261">
        <f t="shared" si="13"/>
        <v>56.615527832137417</v>
      </c>
      <c r="AQ55" s="261">
        <f t="shared" si="13"/>
        <v>56.32331865622961</v>
      </c>
      <c r="AR55" s="261">
        <f t="shared" si="13"/>
        <v>56.031109480321803</v>
      </c>
      <c r="AS55" s="261">
        <f t="shared" si="13"/>
        <v>55.738900304414003</v>
      </c>
      <c r="AT55" s="261">
        <f t="shared" si="13"/>
        <v>55.446691128506195</v>
      </c>
      <c r="AU55" s="261">
        <f t="shared" si="13"/>
        <v>55.154481952598395</v>
      </c>
      <c r="AV55" s="622"/>
      <c r="AW55" s="622"/>
      <c r="AX55" s="622"/>
      <c r="AY55" s="622"/>
      <c r="AZ55" s="622"/>
      <c r="BA55" s="622"/>
      <c r="BB55" s="622"/>
      <c r="BC55" s="622"/>
      <c r="BD55" s="616"/>
      <c r="BE55" s="616"/>
      <c r="BF55" s="616" t="s">
        <v>692</v>
      </c>
      <c r="BG55" s="616"/>
      <c r="BH55" s="616"/>
      <c r="BI55" s="616"/>
      <c r="BJ55" s="616"/>
    </row>
    <row r="56" spans="2:107" s="9" customFormat="1" ht="15">
      <c r="B56" s="10" t="str">
        <f>Processes!D38</f>
        <v>MINNGA</v>
      </c>
      <c r="C56" s="10" t="str">
        <f>Processes!E38</f>
        <v>Mining technology - Natural gas</v>
      </c>
      <c r="D56" s="263"/>
      <c r="E56" s="579" t="s">
        <v>853</v>
      </c>
      <c r="F56" s="108" t="str">
        <f t="shared" si="4"/>
        <v>MKr19</v>
      </c>
      <c r="G56" s="575">
        <f>IFERROR(INDEX($G$113:$AU$169,MATCH($E25,$E$113:$E$169,0),MATCH(G$23,$G$112:$AU$112,0)),0)*$E$180</f>
        <v>42.18</v>
      </c>
      <c r="H56" s="575">
        <f t="shared" ref="H56:AU56" si="14">IFERROR(INDEX($G$113:$AU$169,MATCH($E25,$E$113:$E$169,0),MATCH(H$23,$G$112:$AU$112,0)),0)*$E$180</f>
        <v>43.795000000000002</v>
      </c>
      <c r="I56" s="575">
        <f t="shared" si="14"/>
        <v>52.344999999999999</v>
      </c>
      <c r="J56" s="575">
        <f t="shared" si="14"/>
        <v>51.49</v>
      </c>
      <c r="K56" s="575">
        <f t="shared" si="14"/>
        <v>43.414999999999999</v>
      </c>
      <c r="L56" s="575">
        <f t="shared" si="14"/>
        <v>41.8</v>
      </c>
      <c r="M56" s="575">
        <f t="shared" si="14"/>
        <v>34.959999999999994</v>
      </c>
      <c r="N56" s="575">
        <f t="shared" si="14"/>
        <v>35.055</v>
      </c>
      <c r="O56" s="575">
        <f t="shared" si="14"/>
        <v>50.751074212757736</v>
      </c>
      <c r="P56" s="575">
        <f t="shared" si="14"/>
        <v>32.54796067858944</v>
      </c>
      <c r="Q56" s="575">
        <f t="shared" si="14"/>
        <v>31.727957487158143</v>
      </c>
      <c r="R56" s="575">
        <f t="shared" si="14"/>
        <v>29.949025524166288</v>
      </c>
      <c r="S56" s="575">
        <f t="shared" si="14"/>
        <v>31.124421190464801</v>
      </c>
      <c r="T56" s="575">
        <f t="shared" si="14"/>
        <v>31.69930389723169</v>
      </c>
      <c r="U56" s="575">
        <f t="shared" si="14"/>
        <v>31.888767724343968</v>
      </c>
      <c r="V56" s="575">
        <f t="shared" si="14"/>
        <v>31.830779289767982</v>
      </c>
      <c r="W56" s="575">
        <f t="shared" si="14"/>
        <v>31.794257244088858</v>
      </c>
      <c r="X56" s="575">
        <f t="shared" si="14"/>
        <v>31.770799731920086</v>
      </c>
      <c r="Y56" s="575">
        <f t="shared" si="14"/>
        <v>31.750709610930787</v>
      </c>
      <c r="Z56" s="575">
        <f t="shared" si="14"/>
        <v>31.743509235621186</v>
      </c>
      <c r="AA56" s="575">
        <f t="shared" si="14"/>
        <v>31.741544979889387</v>
      </c>
      <c r="AB56" s="575">
        <f t="shared" si="14"/>
        <v>31.785326421240963</v>
      </c>
      <c r="AC56" s="575">
        <f t="shared" si="14"/>
        <v>31.829107862592537</v>
      </c>
      <c r="AD56" s="575">
        <f t="shared" si="14"/>
        <v>31.872889303944106</v>
      </c>
      <c r="AE56" s="575">
        <f t="shared" si="14"/>
        <v>31.916670745295676</v>
      </c>
      <c r="AF56" s="575">
        <f t="shared" si="14"/>
        <v>31.960452186647256</v>
      </c>
      <c r="AG56" s="575">
        <f t="shared" si="14"/>
        <v>32.004233627998829</v>
      </c>
      <c r="AH56" s="575">
        <f t="shared" si="14"/>
        <v>32.048015069350392</v>
      </c>
      <c r="AI56" s="575">
        <f t="shared" si="14"/>
        <v>32.091796510701968</v>
      </c>
      <c r="AJ56" s="575">
        <f t="shared" si="14"/>
        <v>32.135577952053531</v>
      </c>
      <c r="AK56" s="575">
        <f t="shared" si="14"/>
        <v>32.179359393405107</v>
      </c>
      <c r="AL56" s="575">
        <f t="shared" si="14"/>
        <v>32.223140834756684</v>
      </c>
      <c r="AM56" s="575">
        <f t="shared" si="14"/>
        <v>32.266922276108254</v>
      </c>
      <c r="AN56" s="575">
        <f t="shared" si="14"/>
        <v>32.310703717459816</v>
      </c>
      <c r="AO56" s="575">
        <f t="shared" si="14"/>
        <v>32.354485158811393</v>
      </c>
      <c r="AP56" s="575">
        <f t="shared" si="14"/>
        <v>32.39826660016297</v>
      </c>
      <c r="AQ56" s="575">
        <f t="shared" si="14"/>
        <v>32.442048041514546</v>
      </c>
      <c r="AR56" s="575">
        <f t="shared" si="14"/>
        <v>32.485829482866109</v>
      </c>
      <c r="AS56" s="575">
        <f t="shared" si="14"/>
        <v>32.529610924217685</v>
      </c>
      <c r="AT56" s="575">
        <f t="shared" si="14"/>
        <v>32.573392365569248</v>
      </c>
      <c r="AU56" s="575">
        <f t="shared" si="14"/>
        <v>32.617173806920832</v>
      </c>
      <c r="AV56" s="635"/>
      <c r="AW56" s="635"/>
      <c r="AX56" s="635"/>
      <c r="AY56" s="635"/>
      <c r="AZ56" s="635"/>
      <c r="BA56" s="635"/>
      <c r="BB56" s="635"/>
      <c r="BC56" s="635"/>
      <c r="BD56" s="616"/>
      <c r="BE56" s="616"/>
      <c r="BF56" s="616" t="s">
        <v>692</v>
      </c>
      <c r="BG56" s="616"/>
      <c r="BH56" s="616"/>
      <c r="BI56" s="616"/>
      <c r="BJ56" s="61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row>
    <row r="57" spans="2:107" s="9" customFormat="1" ht="15">
      <c r="B57" s="10" t="str">
        <f>Processes!D39</f>
        <v>MINWST</v>
      </c>
      <c r="C57" s="10" t="str">
        <f>Processes!E39</f>
        <v>Mining technology - Waste</v>
      </c>
      <c r="D57" s="263"/>
      <c r="E57" s="263" t="str">
        <f>RIGHT(B57,3)</f>
        <v>WST</v>
      </c>
      <c r="F57" s="108" t="str">
        <f t="shared" si="4"/>
        <v>MKr14</v>
      </c>
      <c r="G57" s="575">
        <f t="shared" ref="G57:P66" si="15">IFERROR(INDEX($G$113:$AU$169,MATCH($E57,$E$113:$E$169,0),MATCH(G$23,$G$112:$AU$112,0)),0)*$E$180</f>
        <v>1.4249999999999998</v>
      </c>
      <c r="H57" s="575">
        <f t="shared" si="15"/>
        <v>1.4249999999999998</v>
      </c>
      <c r="I57" s="575">
        <f t="shared" si="15"/>
        <v>1.4249999999999998</v>
      </c>
      <c r="J57" s="575">
        <f t="shared" si="15"/>
        <v>1.4249999999999998</v>
      </c>
      <c r="K57" s="575">
        <f t="shared" si="15"/>
        <v>1.4249999999999998</v>
      </c>
      <c r="L57" s="575">
        <f t="shared" si="15"/>
        <v>1.4249999999999998</v>
      </c>
      <c r="M57" s="575">
        <f t="shared" si="15"/>
        <v>1.4249999999999998</v>
      </c>
      <c r="N57" s="575">
        <f t="shared" si="15"/>
        <v>1.4249999999999998</v>
      </c>
      <c r="O57" s="575">
        <f t="shared" si="15"/>
        <v>1.4249999999999998</v>
      </c>
      <c r="P57" s="575">
        <f t="shared" si="15"/>
        <v>1.4249999999999998</v>
      </c>
      <c r="Q57" s="575">
        <f t="shared" ref="Q57:Z66" si="16">IFERROR(INDEX($G$113:$AU$169,MATCH($E57,$E$113:$E$169,0),MATCH(Q$23,$G$112:$AU$112,0)),0)*$E$180</f>
        <v>1.4249999999999998</v>
      </c>
      <c r="R57" s="575">
        <f t="shared" si="16"/>
        <v>1.4249999999999998</v>
      </c>
      <c r="S57" s="575">
        <f t="shared" si="16"/>
        <v>1.4249999999999998</v>
      </c>
      <c r="T57" s="575">
        <f t="shared" si="16"/>
        <v>1.4249999999999998</v>
      </c>
      <c r="U57" s="575">
        <f t="shared" si="16"/>
        <v>1.4249999999999998</v>
      </c>
      <c r="V57" s="575">
        <f t="shared" si="16"/>
        <v>1.4249999999999998</v>
      </c>
      <c r="W57" s="575">
        <f t="shared" si="16"/>
        <v>1.4249999999999998</v>
      </c>
      <c r="X57" s="575">
        <f t="shared" si="16"/>
        <v>1.4249999999999998</v>
      </c>
      <c r="Y57" s="575">
        <f t="shared" si="16"/>
        <v>1.4249999999999998</v>
      </c>
      <c r="Z57" s="575">
        <f t="shared" si="16"/>
        <v>1.4249999999999998</v>
      </c>
      <c r="AA57" s="575">
        <f t="shared" ref="AA57:AJ66" si="17">IFERROR(INDEX($G$113:$AU$169,MATCH($E57,$E$113:$E$169,0),MATCH(AA$23,$G$112:$AU$112,0)),0)*$E$180</f>
        <v>1.4249999999999998</v>
      </c>
      <c r="AB57" s="575">
        <f t="shared" si="17"/>
        <v>1.4249999999999998</v>
      </c>
      <c r="AC57" s="575">
        <f t="shared" si="17"/>
        <v>1.4249999999999998</v>
      </c>
      <c r="AD57" s="575">
        <f t="shared" si="17"/>
        <v>1.4249999999999998</v>
      </c>
      <c r="AE57" s="575">
        <f t="shared" si="17"/>
        <v>1.4249999999999998</v>
      </c>
      <c r="AF57" s="575">
        <f t="shared" si="17"/>
        <v>1.4249999999999998</v>
      </c>
      <c r="AG57" s="575">
        <f t="shared" si="17"/>
        <v>1.4249999999999998</v>
      </c>
      <c r="AH57" s="575">
        <f t="shared" si="17"/>
        <v>1.4249999999999998</v>
      </c>
      <c r="AI57" s="575">
        <f t="shared" si="17"/>
        <v>1.4249999999999998</v>
      </c>
      <c r="AJ57" s="575">
        <f t="shared" si="17"/>
        <v>1.4249999999999998</v>
      </c>
      <c r="AK57" s="575">
        <f t="shared" ref="AK57:AU66" si="18">IFERROR(INDEX($G$113:$AU$169,MATCH($E57,$E$113:$E$169,0),MATCH(AK$23,$G$112:$AU$112,0)),0)*$E$180</f>
        <v>1.4249999999999998</v>
      </c>
      <c r="AL57" s="575">
        <f t="shared" si="18"/>
        <v>1.4249999999999998</v>
      </c>
      <c r="AM57" s="575">
        <f t="shared" si="18"/>
        <v>1.4249999999999998</v>
      </c>
      <c r="AN57" s="575">
        <f t="shared" si="18"/>
        <v>1.4249999999999998</v>
      </c>
      <c r="AO57" s="575">
        <f t="shared" si="18"/>
        <v>1.4249999999999998</v>
      </c>
      <c r="AP57" s="575">
        <f t="shared" si="18"/>
        <v>1.4249999999999998</v>
      </c>
      <c r="AQ57" s="575">
        <f t="shared" si="18"/>
        <v>1.4249999999999998</v>
      </c>
      <c r="AR57" s="575">
        <f t="shared" si="18"/>
        <v>1.4249999999999998</v>
      </c>
      <c r="AS57" s="575">
        <f t="shared" si="18"/>
        <v>1.4249999999999998</v>
      </c>
      <c r="AT57" s="575">
        <f t="shared" si="18"/>
        <v>1.4249999999999998</v>
      </c>
      <c r="AU57" s="575">
        <f t="shared" si="18"/>
        <v>1.4249999999999998</v>
      </c>
      <c r="AV57" s="635"/>
      <c r="AW57" s="635"/>
      <c r="AX57" s="635"/>
      <c r="AY57" s="635"/>
      <c r="AZ57" s="635"/>
      <c r="BA57" s="635"/>
      <c r="BB57" s="635"/>
      <c r="BC57" s="635"/>
      <c r="BD57" s="616"/>
      <c r="BE57" s="616"/>
      <c r="BF57" s="616"/>
      <c r="BG57" s="616"/>
      <c r="BH57" s="616"/>
      <c r="BI57" s="616"/>
      <c r="BJ57" s="616"/>
      <c r="BK57" s="576"/>
      <c r="BL57" s="576"/>
      <c r="BM57" s="576"/>
      <c r="BN57" s="576"/>
      <c r="BO57" s="576"/>
      <c r="BP57" s="576"/>
      <c r="BQ57" s="576"/>
      <c r="BR57" s="576"/>
      <c r="BS57" s="576"/>
      <c r="BT57" s="576"/>
      <c r="BU57" s="576"/>
      <c r="BV57" s="576"/>
      <c r="BW57" s="576"/>
      <c r="BX57" s="576"/>
      <c r="BY57" s="576"/>
      <c r="BZ57" s="576"/>
      <c r="CA57" s="576"/>
      <c r="CB57" s="576"/>
      <c r="CC57" s="576"/>
      <c r="CD57" s="576"/>
      <c r="CE57" s="576"/>
      <c r="CF57" s="576"/>
      <c r="CG57" s="576"/>
      <c r="CH57" s="576"/>
      <c r="CI57" s="576"/>
      <c r="CJ57" s="576"/>
      <c r="CK57" s="576"/>
      <c r="CL57" s="576"/>
      <c r="CM57" s="576"/>
      <c r="CN57" s="576"/>
      <c r="CO57" s="576"/>
      <c r="CP57" s="576"/>
      <c r="CQ57" s="576"/>
      <c r="CR57" s="576"/>
      <c r="CS57" s="576"/>
      <c r="CT57" s="576"/>
      <c r="CU57" s="576"/>
      <c r="CV57" s="576"/>
      <c r="CW57" s="576"/>
      <c r="CX57" s="576"/>
      <c r="CY57" s="576"/>
      <c r="CZ57" s="576"/>
      <c r="DA57" s="576"/>
      <c r="DB57" s="576"/>
      <c r="DC57" s="576"/>
    </row>
    <row r="58" spans="2:107" s="9" customFormat="1" ht="15">
      <c r="B58" s="10" t="str">
        <f>Processes!D40</f>
        <v>MINSTR</v>
      </c>
      <c r="C58" s="10" t="str">
        <f>Processes!E40</f>
        <v>Mining technology - Straw</v>
      </c>
      <c r="D58" s="263"/>
      <c r="E58" s="263" t="str">
        <f t="shared" ref="E58:E66" si="19">RIGHT(B58,3)</f>
        <v>STR</v>
      </c>
      <c r="F58" s="108" t="str">
        <f t="shared" si="4"/>
        <v>MKr19</v>
      </c>
      <c r="G58" s="575">
        <f t="shared" si="15"/>
        <v>39.424999999999997</v>
      </c>
      <c r="H58" s="575">
        <f t="shared" si="15"/>
        <v>39.424999999999997</v>
      </c>
      <c r="I58" s="575">
        <f t="shared" si="15"/>
        <v>39.424999999999997</v>
      </c>
      <c r="J58" s="575">
        <f t="shared" si="15"/>
        <v>39.14</v>
      </c>
      <c r="K58" s="575">
        <f t="shared" si="15"/>
        <v>38.76</v>
      </c>
      <c r="L58" s="575">
        <f t="shared" si="15"/>
        <v>38.475000000000001</v>
      </c>
      <c r="M58" s="575">
        <f t="shared" si="15"/>
        <v>38.854999999999997</v>
      </c>
      <c r="N58" s="575">
        <f t="shared" si="15"/>
        <v>39.33</v>
      </c>
      <c r="O58" s="575">
        <f t="shared" si="15"/>
        <v>39.553153152572932</v>
      </c>
      <c r="P58" s="575">
        <f t="shared" si="15"/>
        <v>39.553153152572932</v>
      </c>
      <c r="Q58" s="575">
        <f t="shared" si="16"/>
        <v>39.864326651741912</v>
      </c>
      <c r="R58" s="575">
        <f t="shared" si="16"/>
        <v>40.257118427780526</v>
      </c>
      <c r="S58" s="575">
        <f t="shared" si="16"/>
        <v>40.651641238518096</v>
      </c>
      <c r="T58" s="575">
        <f t="shared" si="16"/>
        <v>41.047775314379273</v>
      </c>
      <c r="U58" s="575">
        <f t="shared" si="16"/>
        <v>41.44540255411399</v>
      </c>
      <c r="V58" s="575">
        <f t="shared" si="16"/>
        <v>41.844406507497993</v>
      </c>
      <c r="W58" s="575">
        <f t="shared" si="16"/>
        <v>42.088317707337325</v>
      </c>
      <c r="X58" s="575">
        <f t="shared" si="16"/>
        <v>42.332426018634543</v>
      </c>
      <c r="Y58" s="575">
        <f t="shared" si="16"/>
        <v>42.576727554498127</v>
      </c>
      <c r="Z58" s="575">
        <f t="shared" si="16"/>
        <v>42.821218468877682</v>
      </c>
      <c r="AA58" s="575">
        <f t="shared" si="17"/>
        <v>43.065894956074864</v>
      </c>
      <c r="AB58" s="575">
        <f t="shared" si="17"/>
        <v>43.272067061620987</v>
      </c>
      <c r="AC58" s="575">
        <f t="shared" si="17"/>
        <v>43.478503697166701</v>
      </c>
      <c r="AD58" s="575">
        <f t="shared" si="17"/>
        <v>43.63940004633902</v>
      </c>
      <c r="AE58" s="575">
        <f t="shared" si="17"/>
        <v>43.787387959191499</v>
      </c>
      <c r="AF58" s="575">
        <f t="shared" si="17"/>
        <v>43.935341188637722</v>
      </c>
      <c r="AG58" s="575">
        <f t="shared" si="17"/>
        <v>44.070978690732581</v>
      </c>
      <c r="AH58" s="575">
        <f t="shared" si="17"/>
        <v>44.206575683566093</v>
      </c>
      <c r="AI58" s="575">
        <f t="shared" si="17"/>
        <v>44.342131579988035</v>
      </c>
      <c r="AJ58" s="575">
        <f t="shared" si="17"/>
        <v>44.477645798455178</v>
      </c>
      <c r="AK58" s="575">
        <f t="shared" si="18"/>
        <v>44.61311776297277</v>
      </c>
      <c r="AL58" s="575">
        <f t="shared" si="18"/>
        <v>44.61311776297277</v>
      </c>
      <c r="AM58" s="575">
        <f t="shared" si="18"/>
        <v>44.61311776297277</v>
      </c>
      <c r="AN58" s="575">
        <f t="shared" si="18"/>
        <v>44.61311776297277</v>
      </c>
      <c r="AO58" s="575">
        <f t="shared" si="18"/>
        <v>44.61311776297277</v>
      </c>
      <c r="AP58" s="575">
        <f t="shared" si="18"/>
        <v>44.61311776297277</v>
      </c>
      <c r="AQ58" s="575">
        <f t="shared" si="18"/>
        <v>44.61311776297277</v>
      </c>
      <c r="AR58" s="575">
        <f t="shared" si="18"/>
        <v>44.61311776297277</v>
      </c>
      <c r="AS58" s="575">
        <f t="shared" si="18"/>
        <v>44.61311776297277</v>
      </c>
      <c r="AT58" s="575">
        <f t="shared" si="18"/>
        <v>44.61311776297277</v>
      </c>
      <c r="AU58" s="575">
        <f t="shared" si="18"/>
        <v>44.61311776297277</v>
      </c>
      <c r="AV58" s="635"/>
      <c r="AW58" s="635"/>
      <c r="AX58" s="635"/>
      <c r="AY58" s="635"/>
      <c r="AZ58" s="635"/>
      <c r="BA58" s="635"/>
      <c r="BB58" s="635"/>
      <c r="BC58" s="635"/>
      <c r="BD58" s="616"/>
      <c r="BE58" s="616"/>
      <c r="BF58" s="616"/>
      <c r="BG58" s="616"/>
      <c r="BH58" s="616"/>
      <c r="BI58" s="616"/>
      <c r="BJ58" s="616"/>
      <c r="BK58" s="576"/>
      <c r="BL58" s="576"/>
      <c r="BM58" s="576"/>
      <c r="BN58" s="576"/>
      <c r="BO58" s="576"/>
      <c r="BP58" s="576"/>
      <c r="BQ58" s="576"/>
      <c r="BR58" s="576"/>
      <c r="BS58" s="576"/>
      <c r="BT58" s="576"/>
      <c r="BU58" s="576"/>
      <c r="BV58" s="576"/>
      <c r="BW58" s="576"/>
      <c r="BX58" s="576"/>
      <c r="BY58" s="576"/>
      <c r="BZ58" s="576"/>
      <c r="CA58" s="576"/>
      <c r="CB58" s="576"/>
      <c r="CC58" s="576"/>
      <c r="CD58" s="576"/>
      <c r="CE58" s="576"/>
      <c r="CF58" s="576"/>
      <c r="CG58" s="576"/>
      <c r="CH58" s="576"/>
      <c r="CI58" s="576"/>
      <c r="CJ58" s="576"/>
      <c r="CK58" s="576"/>
      <c r="CL58" s="576"/>
      <c r="CM58" s="576"/>
      <c r="CN58" s="576"/>
      <c r="CO58" s="576"/>
      <c r="CP58" s="576"/>
      <c r="CQ58" s="576"/>
      <c r="CR58" s="576"/>
      <c r="CS58" s="576"/>
      <c r="CT58" s="576"/>
      <c r="CU58" s="576"/>
      <c r="CV58" s="576"/>
      <c r="CW58" s="576"/>
      <c r="CX58" s="576"/>
      <c r="CY58" s="576"/>
      <c r="CZ58" s="576"/>
      <c r="DA58" s="576"/>
      <c r="DB58" s="576"/>
      <c r="DC58" s="576"/>
    </row>
    <row r="59" spans="2:107" s="9" customFormat="1" ht="15">
      <c r="B59" s="10" t="str">
        <f>Processes!D41</f>
        <v>MINDLI</v>
      </c>
      <c r="C59" s="10" t="str">
        <f>Processes!E41</f>
        <v>Mining technology - Deep Litter</v>
      </c>
      <c r="D59" s="263"/>
      <c r="E59" s="263" t="str">
        <f>RIGHT(B59,3)</f>
        <v>DLI</v>
      </c>
      <c r="F59" s="108" t="str">
        <f t="shared" si="4"/>
        <v>MKr14</v>
      </c>
      <c r="G59" s="575">
        <f t="shared" si="15"/>
        <v>9.4999999999999998E-3</v>
      </c>
      <c r="H59" s="575">
        <f t="shared" si="15"/>
        <v>9.4999999999999998E-3</v>
      </c>
      <c r="I59" s="575">
        <f t="shared" si="15"/>
        <v>9.4999999999999998E-3</v>
      </c>
      <c r="J59" s="575">
        <f t="shared" si="15"/>
        <v>9.4999999999999998E-3</v>
      </c>
      <c r="K59" s="575">
        <f t="shared" si="15"/>
        <v>9.4999999999999998E-3</v>
      </c>
      <c r="L59" s="575">
        <f t="shared" si="15"/>
        <v>9.4999999999999998E-3</v>
      </c>
      <c r="M59" s="575">
        <f t="shared" si="15"/>
        <v>9.4999999999999998E-3</v>
      </c>
      <c r="N59" s="575">
        <f t="shared" si="15"/>
        <v>9.4999999999999998E-3</v>
      </c>
      <c r="O59" s="575">
        <f t="shared" si="15"/>
        <v>9.4999999999999998E-3</v>
      </c>
      <c r="P59" s="575">
        <f t="shared" si="15"/>
        <v>9.4999999999999998E-3</v>
      </c>
      <c r="Q59" s="575">
        <f t="shared" si="16"/>
        <v>9.4999999999999998E-3</v>
      </c>
      <c r="R59" s="575">
        <f t="shared" si="16"/>
        <v>9.4999999999999998E-3</v>
      </c>
      <c r="S59" s="575">
        <f t="shared" si="16"/>
        <v>9.4999999999999998E-3</v>
      </c>
      <c r="T59" s="575">
        <f t="shared" si="16"/>
        <v>9.4999999999999998E-3</v>
      </c>
      <c r="U59" s="575">
        <f t="shared" si="16"/>
        <v>9.4999999999999998E-3</v>
      </c>
      <c r="V59" s="575">
        <f t="shared" si="16"/>
        <v>9.4999999999999998E-3</v>
      </c>
      <c r="W59" s="575">
        <f t="shared" si="16"/>
        <v>9.4999999999999998E-3</v>
      </c>
      <c r="X59" s="575">
        <f t="shared" si="16"/>
        <v>9.4999999999999998E-3</v>
      </c>
      <c r="Y59" s="575">
        <f t="shared" si="16"/>
        <v>9.4999999999999998E-3</v>
      </c>
      <c r="Z59" s="575">
        <f t="shared" si="16"/>
        <v>9.4999999999999998E-3</v>
      </c>
      <c r="AA59" s="575">
        <f t="shared" si="17"/>
        <v>9.4999999999999998E-3</v>
      </c>
      <c r="AB59" s="575">
        <f t="shared" si="17"/>
        <v>9.4999999999999998E-3</v>
      </c>
      <c r="AC59" s="575">
        <f t="shared" si="17"/>
        <v>9.4999999999999998E-3</v>
      </c>
      <c r="AD59" s="575">
        <f t="shared" si="17"/>
        <v>9.4999999999999998E-3</v>
      </c>
      <c r="AE59" s="575">
        <f t="shared" si="17"/>
        <v>9.4999999999999998E-3</v>
      </c>
      <c r="AF59" s="575">
        <f t="shared" si="17"/>
        <v>9.4999999999999998E-3</v>
      </c>
      <c r="AG59" s="575">
        <f t="shared" si="17"/>
        <v>9.4999999999999998E-3</v>
      </c>
      <c r="AH59" s="575">
        <f t="shared" si="17"/>
        <v>9.4999999999999998E-3</v>
      </c>
      <c r="AI59" s="575">
        <f t="shared" si="17"/>
        <v>9.4999999999999998E-3</v>
      </c>
      <c r="AJ59" s="575">
        <f t="shared" si="17"/>
        <v>9.4999999999999998E-3</v>
      </c>
      <c r="AK59" s="575">
        <f t="shared" si="18"/>
        <v>9.4999999999999998E-3</v>
      </c>
      <c r="AL59" s="575">
        <f t="shared" si="18"/>
        <v>9.4999999999999998E-3</v>
      </c>
      <c r="AM59" s="575">
        <f t="shared" si="18"/>
        <v>9.4999999999999998E-3</v>
      </c>
      <c r="AN59" s="575">
        <f t="shared" si="18"/>
        <v>9.4999999999999998E-3</v>
      </c>
      <c r="AO59" s="575">
        <f t="shared" si="18"/>
        <v>9.4999999999999998E-3</v>
      </c>
      <c r="AP59" s="575">
        <f t="shared" si="18"/>
        <v>9.4999999999999998E-3</v>
      </c>
      <c r="AQ59" s="575">
        <f t="shared" si="18"/>
        <v>9.4999999999999998E-3</v>
      </c>
      <c r="AR59" s="575">
        <f t="shared" si="18"/>
        <v>9.4999999999999998E-3</v>
      </c>
      <c r="AS59" s="575">
        <f t="shared" si="18"/>
        <v>9.4999999999999998E-3</v>
      </c>
      <c r="AT59" s="575">
        <f t="shared" si="18"/>
        <v>9.4999999999999998E-3</v>
      </c>
      <c r="AU59" s="575">
        <f t="shared" si="18"/>
        <v>9.4999999999999998E-3</v>
      </c>
      <c r="AV59" s="635"/>
      <c r="AW59" s="635"/>
      <c r="AX59" s="635"/>
      <c r="AY59" s="635"/>
      <c r="AZ59" s="635"/>
      <c r="BA59" s="635"/>
      <c r="BB59" s="635"/>
      <c r="BC59" s="635"/>
      <c r="BD59" s="616"/>
      <c r="BE59" s="616"/>
      <c r="BF59" s="616"/>
      <c r="BG59" s="616"/>
      <c r="BH59" s="616"/>
      <c r="BI59" s="616"/>
      <c r="BJ59" s="616"/>
      <c r="BK59" s="576"/>
      <c r="BL59" s="576"/>
      <c r="BM59" s="576"/>
      <c r="BN59" s="576"/>
      <c r="BO59" s="576"/>
      <c r="BP59" s="576"/>
      <c r="BQ59" s="576"/>
      <c r="BR59" s="576"/>
      <c r="BS59" s="576"/>
      <c r="BT59" s="576"/>
      <c r="BU59" s="576"/>
      <c r="BV59" s="576"/>
      <c r="BW59" s="576"/>
      <c r="BX59" s="576"/>
      <c r="BY59" s="576"/>
      <c r="BZ59" s="576"/>
      <c r="CA59" s="576"/>
      <c r="CB59" s="576"/>
      <c r="CC59" s="576"/>
      <c r="CD59" s="576"/>
      <c r="CE59" s="576"/>
      <c r="CF59" s="576"/>
      <c r="CG59" s="576"/>
      <c r="CH59" s="576"/>
      <c r="CI59" s="576"/>
      <c r="CJ59" s="576"/>
      <c r="CK59" s="576"/>
      <c r="CL59" s="576"/>
      <c r="CM59" s="576"/>
      <c r="CN59" s="576"/>
      <c r="CO59" s="576"/>
      <c r="CP59" s="576"/>
      <c r="CQ59" s="576"/>
      <c r="CR59" s="576"/>
      <c r="CS59" s="576"/>
      <c r="CT59" s="576"/>
      <c r="CU59" s="576"/>
      <c r="CV59" s="576"/>
      <c r="CW59" s="576"/>
      <c r="CX59" s="576"/>
      <c r="CY59" s="576"/>
      <c r="CZ59" s="576"/>
      <c r="DA59" s="576"/>
      <c r="DB59" s="576"/>
      <c r="DC59" s="576"/>
    </row>
    <row r="60" spans="2:107" s="9" customFormat="1" ht="15">
      <c r="B60" s="10" t="str">
        <f>Processes!D42</f>
        <v>MINGRS</v>
      </c>
      <c r="C60" s="10" t="str">
        <f>Processes!E42</f>
        <v>Mining technology - Grass</v>
      </c>
      <c r="D60" s="263"/>
      <c r="E60" s="263" t="str">
        <f>RIGHT(B60,3)</f>
        <v>GRS</v>
      </c>
      <c r="F60" s="108" t="str">
        <f t="shared" si="4"/>
        <v>MKr14</v>
      </c>
      <c r="G60" s="575">
        <f t="shared" si="15"/>
        <v>39.424999999999997</v>
      </c>
      <c r="H60" s="575">
        <f t="shared" si="15"/>
        <v>39.424999999999997</v>
      </c>
      <c r="I60" s="575">
        <f t="shared" si="15"/>
        <v>39.424999999999997</v>
      </c>
      <c r="J60" s="575">
        <f t="shared" si="15"/>
        <v>39.14</v>
      </c>
      <c r="K60" s="575">
        <f t="shared" si="15"/>
        <v>38.76</v>
      </c>
      <c r="L60" s="575">
        <f t="shared" si="15"/>
        <v>38.475000000000001</v>
      </c>
      <c r="M60" s="575">
        <f t="shared" si="15"/>
        <v>38.854999999999997</v>
      </c>
      <c r="N60" s="575">
        <f t="shared" si="15"/>
        <v>39.33</v>
      </c>
      <c r="O60" s="575">
        <f t="shared" si="15"/>
        <v>39.553153152572932</v>
      </c>
      <c r="P60" s="575">
        <f t="shared" si="15"/>
        <v>39.553153152572932</v>
      </c>
      <c r="Q60" s="575">
        <f t="shared" si="16"/>
        <v>39.864326651741912</v>
      </c>
      <c r="R60" s="575">
        <f t="shared" si="16"/>
        <v>40.257118427780526</v>
      </c>
      <c r="S60" s="575">
        <f t="shared" si="16"/>
        <v>40.651641238518096</v>
      </c>
      <c r="T60" s="575">
        <f t="shared" si="16"/>
        <v>41.047775314379273</v>
      </c>
      <c r="U60" s="575">
        <f t="shared" si="16"/>
        <v>41.44540255411399</v>
      </c>
      <c r="V60" s="575">
        <f t="shared" si="16"/>
        <v>41.844406507497993</v>
      </c>
      <c r="W60" s="575">
        <f t="shared" si="16"/>
        <v>42.088317707337325</v>
      </c>
      <c r="X60" s="575">
        <f t="shared" si="16"/>
        <v>42.332426018634543</v>
      </c>
      <c r="Y60" s="575">
        <f t="shared" si="16"/>
        <v>42.576727554498127</v>
      </c>
      <c r="Z60" s="575">
        <f t="shared" si="16"/>
        <v>42.821218468877682</v>
      </c>
      <c r="AA60" s="575">
        <f t="shared" si="17"/>
        <v>43.065894956074864</v>
      </c>
      <c r="AB60" s="575">
        <f t="shared" si="17"/>
        <v>43.272067061620987</v>
      </c>
      <c r="AC60" s="575">
        <f t="shared" si="17"/>
        <v>43.478503697166701</v>
      </c>
      <c r="AD60" s="575">
        <f t="shared" si="17"/>
        <v>43.63940004633902</v>
      </c>
      <c r="AE60" s="575">
        <f t="shared" si="17"/>
        <v>43.787387959191499</v>
      </c>
      <c r="AF60" s="575">
        <f t="shared" si="17"/>
        <v>43.935341188637722</v>
      </c>
      <c r="AG60" s="575">
        <f t="shared" si="17"/>
        <v>44.070978690732581</v>
      </c>
      <c r="AH60" s="575">
        <f t="shared" si="17"/>
        <v>44.206575683566093</v>
      </c>
      <c r="AI60" s="575">
        <f t="shared" si="17"/>
        <v>44.342131579988035</v>
      </c>
      <c r="AJ60" s="575">
        <f t="shared" si="17"/>
        <v>44.477645798455178</v>
      </c>
      <c r="AK60" s="575">
        <f t="shared" si="18"/>
        <v>44.61311776297277</v>
      </c>
      <c r="AL60" s="575">
        <f t="shared" si="18"/>
        <v>44.61311776297277</v>
      </c>
      <c r="AM60" s="575">
        <f t="shared" si="18"/>
        <v>44.61311776297277</v>
      </c>
      <c r="AN60" s="575">
        <f t="shared" si="18"/>
        <v>44.61311776297277</v>
      </c>
      <c r="AO60" s="575">
        <f t="shared" si="18"/>
        <v>44.61311776297277</v>
      </c>
      <c r="AP60" s="575">
        <f t="shared" si="18"/>
        <v>44.61311776297277</v>
      </c>
      <c r="AQ60" s="575">
        <f t="shared" si="18"/>
        <v>44.61311776297277</v>
      </c>
      <c r="AR60" s="575">
        <f t="shared" si="18"/>
        <v>44.61311776297277</v>
      </c>
      <c r="AS60" s="575">
        <f t="shared" si="18"/>
        <v>44.61311776297277</v>
      </c>
      <c r="AT60" s="575">
        <f t="shared" si="18"/>
        <v>44.61311776297277</v>
      </c>
      <c r="AU60" s="575">
        <f t="shared" si="18"/>
        <v>44.61311776297277</v>
      </c>
      <c r="AV60" s="635"/>
      <c r="AW60" s="635"/>
      <c r="AX60" s="635"/>
      <c r="AY60" s="635"/>
      <c r="AZ60" s="635"/>
      <c r="BA60" s="635"/>
      <c r="BB60" s="635"/>
      <c r="BC60" s="635"/>
      <c r="BD60" s="616"/>
      <c r="BE60" s="616"/>
      <c r="BF60" s="616"/>
      <c r="BG60" s="616"/>
      <c r="BH60" s="616"/>
      <c r="BI60" s="616"/>
      <c r="BJ60" s="616"/>
      <c r="BK60" s="576"/>
      <c r="BL60" s="576"/>
      <c r="BM60" s="576"/>
      <c r="BN60" s="576"/>
      <c r="BO60" s="576"/>
      <c r="BP60" s="576"/>
      <c r="BQ60" s="576"/>
      <c r="BR60" s="576"/>
      <c r="BS60" s="576"/>
      <c r="BT60" s="576"/>
      <c r="BU60" s="576"/>
      <c r="BV60" s="576"/>
      <c r="BW60" s="576"/>
      <c r="BX60" s="576"/>
      <c r="BY60" s="576"/>
      <c r="BZ60" s="576"/>
      <c r="CA60" s="576"/>
      <c r="CB60" s="576"/>
      <c r="CC60" s="576"/>
      <c r="CD60" s="576"/>
      <c r="CE60" s="576"/>
      <c r="CF60" s="576"/>
      <c r="CG60" s="576"/>
      <c r="CH60" s="576"/>
      <c r="CI60" s="576"/>
      <c r="CJ60" s="576"/>
      <c r="CK60" s="576"/>
      <c r="CL60" s="576"/>
      <c r="CM60" s="576"/>
      <c r="CN60" s="576"/>
      <c r="CO60" s="576"/>
      <c r="CP60" s="576"/>
      <c r="CQ60" s="576"/>
      <c r="CR60" s="576"/>
      <c r="CS60" s="576"/>
      <c r="CT60" s="576"/>
      <c r="CU60" s="576"/>
      <c r="CV60" s="576"/>
      <c r="CW60" s="576"/>
      <c r="CX60" s="576"/>
      <c r="CY60" s="576"/>
      <c r="CZ60" s="576"/>
      <c r="DA60" s="576"/>
      <c r="DB60" s="576"/>
      <c r="DC60" s="576"/>
    </row>
    <row r="61" spans="2:107" s="9" customFormat="1" ht="15">
      <c r="B61" s="10" t="str">
        <f>Processes!D43</f>
        <v>MINWPE</v>
      </c>
      <c r="C61" s="10" t="str">
        <f>Processes!E43</f>
        <v>Mining technology - Wood pellets</v>
      </c>
      <c r="D61" s="263"/>
      <c r="E61" s="263" t="str">
        <f t="shared" si="19"/>
        <v>WPE</v>
      </c>
      <c r="F61" s="108" t="str">
        <f t="shared" si="4"/>
        <v>MKr19</v>
      </c>
      <c r="G61" s="575">
        <f t="shared" si="15"/>
        <v>70.015000000000001</v>
      </c>
      <c r="H61" s="575">
        <f t="shared" si="15"/>
        <v>70.015000000000001</v>
      </c>
      <c r="I61" s="575">
        <f t="shared" si="15"/>
        <v>70.015000000000001</v>
      </c>
      <c r="J61" s="575">
        <f t="shared" si="15"/>
        <v>69.064999999999998</v>
      </c>
      <c r="K61" s="575">
        <f t="shared" si="15"/>
        <v>68.209999999999994</v>
      </c>
      <c r="L61" s="575">
        <f t="shared" si="15"/>
        <v>67.259999999999991</v>
      </c>
      <c r="M61" s="575">
        <f t="shared" si="15"/>
        <v>67.64</v>
      </c>
      <c r="N61" s="575">
        <f t="shared" si="15"/>
        <v>68.02</v>
      </c>
      <c r="O61" s="575">
        <f t="shared" si="15"/>
        <v>66.020146242702353</v>
      </c>
      <c r="P61" s="575">
        <f t="shared" si="15"/>
        <v>75.717311437008306</v>
      </c>
      <c r="Q61" s="575">
        <f t="shared" si="16"/>
        <v>66.555896566348352</v>
      </c>
      <c r="R61" s="575">
        <f t="shared" si="16"/>
        <v>69.321393725466947</v>
      </c>
      <c r="S61" s="575">
        <f t="shared" si="16"/>
        <v>69.603141526480812</v>
      </c>
      <c r="T61" s="575">
        <f t="shared" si="16"/>
        <v>68.928725208868499</v>
      </c>
      <c r="U61" s="575">
        <f t="shared" si="16"/>
        <v>68.599972986361095</v>
      </c>
      <c r="V61" s="575">
        <f t="shared" si="16"/>
        <v>68.303153042710917</v>
      </c>
      <c r="W61" s="575">
        <f t="shared" si="16"/>
        <v>68.072238180398855</v>
      </c>
      <c r="X61" s="575">
        <f t="shared" si="16"/>
        <v>67.866832134494302</v>
      </c>
      <c r="Y61" s="575">
        <f t="shared" si="16"/>
        <v>67.685176092894196</v>
      </c>
      <c r="Z61" s="575">
        <f t="shared" si="16"/>
        <v>67.535861681779423</v>
      </c>
      <c r="AA61" s="575">
        <f t="shared" si="17"/>
        <v>67.40679916074086</v>
      </c>
      <c r="AB61" s="575">
        <f t="shared" si="17"/>
        <v>67.434358766350528</v>
      </c>
      <c r="AC61" s="575">
        <f t="shared" si="17"/>
        <v>67.461682233287306</v>
      </c>
      <c r="AD61" s="575">
        <f t="shared" si="17"/>
        <v>67.488770486769681</v>
      </c>
      <c r="AE61" s="575">
        <f t="shared" si="17"/>
        <v>67.515624417196662</v>
      </c>
      <c r="AF61" s="575">
        <f t="shared" si="17"/>
        <v>67.542244880575822</v>
      </c>
      <c r="AG61" s="575">
        <f t="shared" si="17"/>
        <v>67.560772948417537</v>
      </c>
      <c r="AH61" s="575">
        <f t="shared" si="17"/>
        <v>67.579089786291107</v>
      </c>
      <c r="AI61" s="575">
        <f t="shared" si="17"/>
        <v>67.597196876550186</v>
      </c>
      <c r="AJ61" s="575">
        <f t="shared" si="17"/>
        <v>67.615095657945915</v>
      </c>
      <c r="AK61" s="575">
        <f t="shared" si="18"/>
        <v>67.632787526318609</v>
      </c>
      <c r="AL61" s="575">
        <f t="shared" si="18"/>
        <v>57.642160026944858</v>
      </c>
      <c r="AM61" s="575">
        <f t="shared" si="18"/>
        <v>57.652670836265216</v>
      </c>
      <c r="AN61" s="575">
        <f t="shared" si="18"/>
        <v>57.663062920789976</v>
      </c>
      <c r="AO61" s="575">
        <f t="shared" si="18"/>
        <v>57.67333776272897</v>
      </c>
      <c r="AP61" s="575">
        <f t="shared" si="18"/>
        <v>57.683496812826789</v>
      </c>
      <c r="AQ61" s="575">
        <f t="shared" si="18"/>
        <v>57.735587537358441</v>
      </c>
      <c r="AR61" s="575">
        <f t="shared" si="18"/>
        <v>57.78734511269969</v>
      </c>
      <c r="AS61" s="575">
        <f t="shared" si="18"/>
        <v>57.838771147246518</v>
      </c>
      <c r="AT61" s="575">
        <f t="shared" si="18"/>
        <v>57.889867215086504</v>
      </c>
      <c r="AU61" s="575">
        <f t="shared" si="18"/>
        <v>57.940634856356873</v>
      </c>
      <c r="AV61" s="635"/>
      <c r="AW61" s="635"/>
      <c r="AX61" s="635"/>
      <c r="AY61" s="635"/>
      <c r="AZ61" s="635"/>
      <c r="BA61" s="635"/>
      <c r="BB61" s="635"/>
      <c r="BC61" s="635"/>
      <c r="BD61" s="616"/>
      <c r="BE61" s="616"/>
      <c r="BF61" s="616"/>
      <c r="BG61" s="616"/>
      <c r="BH61" s="616"/>
      <c r="BI61" s="616"/>
      <c r="BJ61" s="616"/>
      <c r="BK61" s="576"/>
      <c r="BL61" s="576"/>
      <c r="BM61" s="576"/>
      <c r="BN61" s="576"/>
      <c r="BO61" s="576"/>
      <c r="BP61" s="576"/>
      <c r="BQ61" s="576"/>
      <c r="BR61" s="576"/>
      <c r="BS61" s="576"/>
      <c r="BT61" s="576"/>
      <c r="BU61" s="576"/>
      <c r="BV61" s="576"/>
      <c r="BW61" s="576"/>
      <c r="BX61" s="576"/>
      <c r="BY61" s="576"/>
      <c r="BZ61" s="576"/>
      <c r="CA61" s="576"/>
      <c r="CB61" s="576"/>
      <c r="CC61" s="576"/>
      <c r="CD61" s="576"/>
      <c r="CE61" s="576"/>
      <c r="CF61" s="576"/>
      <c r="CG61" s="576"/>
      <c r="CH61" s="576"/>
      <c r="CI61" s="576"/>
      <c r="CJ61" s="576"/>
      <c r="CK61" s="576"/>
      <c r="CL61" s="576"/>
      <c r="CM61" s="576"/>
      <c r="CN61" s="576"/>
      <c r="CO61" s="576"/>
      <c r="CP61" s="576"/>
      <c r="CQ61" s="576"/>
      <c r="CR61" s="576"/>
      <c r="CS61" s="576"/>
      <c r="CT61" s="576"/>
      <c r="CU61" s="576"/>
      <c r="CV61" s="576"/>
      <c r="CW61" s="576"/>
      <c r="CX61" s="576"/>
      <c r="CY61" s="576"/>
      <c r="CZ61" s="576"/>
      <c r="DA61" s="576"/>
      <c r="DB61" s="576"/>
      <c r="DC61" s="576"/>
    </row>
    <row r="62" spans="2:107" s="9" customFormat="1" ht="15">
      <c r="B62" s="10" t="str">
        <f>Processes!D44</f>
        <v>MINWCH</v>
      </c>
      <c r="C62" s="10" t="str">
        <f>Processes!E44</f>
        <v>Mining technology - Wood chips and wood waste</v>
      </c>
      <c r="D62" s="263"/>
      <c r="E62" s="263" t="str">
        <f t="shared" si="19"/>
        <v>WCH</v>
      </c>
      <c r="F62" s="108" t="str">
        <f t="shared" si="4"/>
        <v>MKr19</v>
      </c>
      <c r="G62" s="575">
        <f t="shared" si="15"/>
        <v>43.699999999999996</v>
      </c>
      <c r="H62" s="575">
        <f t="shared" si="15"/>
        <v>43.699999999999996</v>
      </c>
      <c r="I62" s="575">
        <f t="shared" si="15"/>
        <v>43.699999999999996</v>
      </c>
      <c r="J62" s="575">
        <f t="shared" si="15"/>
        <v>43.414999999999999</v>
      </c>
      <c r="K62" s="575">
        <f t="shared" si="15"/>
        <v>43.034999999999997</v>
      </c>
      <c r="L62" s="575">
        <f t="shared" si="15"/>
        <v>42.654999999999994</v>
      </c>
      <c r="M62" s="575">
        <f t="shared" si="15"/>
        <v>43.129999999999995</v>
      </c>
      <c r="N62" s="575">
        <f t="shared" si="15"/>
        <v>43.604999999999997</v>
      </c>
      <c r="O62" s="575">
        <f t="shared" si="15"/>
        <v>42.920498592365362</v>
      </c>
      <c r="P62" s="575">
        <f t="shared" si="15"/>
        <v>42.86172053483137</v>
      </c>
      <c r="Q62" s="575">
        <f t="shared" si="16"/>
        <v>42.985970217976949</v>
      </c>
      <c r="R62" s="575">
        <f t="shared" si="16"/>
        <v>42.930737621218739</v>
      </c>
      <c r="S62" s="575">
        <f t="shared" si="16"/>
        <v>43.122515400049686</v>
      </c>
      <c r="T62" s="575">
        <f t="shared" si="16"/>
        <v>43.362212229388248</v>
      </c>
      <c r="U62" s="575">
        <f t="shared" si="16"/>
        <v>43.62686434319582</v>
      </c>
      <c r="V62" s="575">
        <f t="shared" si="16"/>
        <v>43.896651372185751</v>
      </c>
      <c r="W62" s="575">
        <f t="shared" si="16"/>
        <v>44.09874443125387</v>
      </c>
      <c r="X62" s="575">
        <f t="shared" si="16"/>
        <v>44.299506357634684</v>
      </c>
      <c r="Y62" s="575">
        <f t="shared" si="16"/>
        <v>44.497928296919504</v>
      </c>
      <c r="Z62" s="575">
        <f t="shared" si="16"/>
        <v>44.701341711419417</v>
      </c>
      <c r="AA62" s="575">
        <f t="shared" si="17"/>
        <v>44.899951064987313</v>
      </c>
      <c r="AB62" s="575">
        <f t="shared" si="17"/>
        <v>44.995010804955093</v>
      </c>
      <c r="AC62" s="575">
        <f t="shared" si="17"/>
        <v>45.089896386301845</v>
      </c>
      <c r="AD62" s="575">
        <f t="shared" si="17"/>
        <v>45.184608919645179</v>
      </c>
      <c r="AE62" s="575">
        <f t="shared" si="17"/>
        <v>45.279149498086021</v>
      </c>
      <c r="AF62" s="575">
        <f t="shared" si="17"/>
        <v>45.373519197394238</v>
      </c>
      <c r="AG62" s="575">
        <f t="shared" si="17"/>
        <v>45.468479823575379</v>
      </c>
      <c r="AH62" s="575">
        <f t="shared" si="17"/>
        <v>45.5631628821723</v>
      </c>
      <c r="AI62" s="575">
        <f t="shared" si="17"/>
        <v>45.657570209274184</v>
      </c>
      <c r="AJ62" s="575">
        <f t="shared" si="17"/>
        <v>45.75170361599077</v>
      </c>
      <c r="AK62" s="575">
        <f t="shared" si="18"/>
        <v>45.845564888719998</v>
      </c>
      <c r="AL62" s="575">
        <f t="shared" si="18"/>
        <v>45.958745378603254</v>
      </c>
      <c r="AM62" s="575">
        <f t="shared" si="18"/>
        <v>46.071499911718661</v>
      </c>
      <c r="AN62" s="575">
        <f t="shared" si="18"/>
        <v>46.183831178905827</v>
      </c>
      <c r="AO62" s="575">
        <f t="shared" si="18"/>
        <v>46.295741837125888</v>
      </c>
      <c r="AP62" s="575">
        <f t="shared" si="18"/>
        <v>46.407234509827518</v>
      </c>
      <c r="AQ62" s="575">
        <f t="shared" si="18"/>
        <v>46.573346077925379</v>
      </c>
      <c r="AR62" s="575">
        <f t="shared" si="18"/>
        <v>46.738783513499861</v>
      </c>
      <c r="AS62" s="575">
        <f t="shared" si="18"/>
        <v>46.903550518626702</v>
      </c>
      <c r="AT62" s="575">
        <f t="shared" si="18"/>
        <v>47.067650750859954</v>
      </c>
      <c r="AU62" s="575">
        <f t="shared" si="18"/>
        <v>47.231087823716685</v>
      </c>
      <c r="AV62" s="635"/>
      <c r="AW62" s="635"/>
      <c r="AX62" s="635"/>
      <c r="AY62" s="635"/>
      <c r="AZ62" s="635"/>
      <c r="BA62" s="635"/>
      <c r="BB62" s="635"/>
      <c r="BC62" s="635"/>
      <c r="BD62" s="616"/>
      <c r="BE62" s="616"/>
      <c r="BF62" s="616"/>
      <c r="BG62" s="616"/>
      <c r="BH62" s="616"/>
      <c r="BI62" s="616"/>
      <c r="BJ62" s="616"/>
      <c r="BK62" s="576"/>
      <c r="BL62" s="576"/>
      <c r="BM62" s="576"/>
      <c r="BN62" s="576"/>
      <c r="BO62" s="576"/>
      <c r="BP62" s="576"/>
      <c r="BQ62" s="576"/>
      <c r="BR62" s="576"/>
      <c r="BS62" s="576"/>
      <c r="BT62" s="576"/>
      <c r="BU62" s="576"/>
      <c r="BV62" s="576"/>
      <c r="BW62" s="576"/>
      <c r="BX62" s="576"/>
      <c r="BY62" s="576"/>
      <c r="BZ62" s="576"/>
      <c r="CA62" s="576"/>
      <c r="CB62" s="576"/>
      <c r="CC62" s="576"/>
      <c r="CD62" s="576"/>
      <c r="CE62" s="576"/>
      <c r="CF62" s="576"/>
      <c r="CG62" s="576"/>
      <c r="CH62" s="576"/>
      <c r="CI62" s="576"/>
      <c r="CJ62" s="576"/>
      <c r="CK62" s="576"/>
      <c r="CL62" s="576"/>
      <c r="CM62" s="576"/>
      <c r="CN62" s="576"/>
      <c r="CO62" s="576"/>
      <c r="CP62" s="576"/>
      <c r="CQ62" s="576"/>
      <c r="CR62" s="576"/>
      <c r="CS62" s="576"/>
      <c r="CT62" s="576"/>
      <c r="CU62" s="576"/>
      <c r="CV62" s="576"/>
      <c r="CW62" s="576"/>
      <c r="CX62" s="576"/>
      <c r="CY62" s="576"/>
      <c r="CZ62" s="576"/>
      <c r="DA62" s="576"/>
      <c r="DB62" s="576"/>
      <c r="DC62" s="576"/>
    </row>
    <row r="63" spans="2:107" s="9" customFormat="1" ht="15">
      <c r="B63" s="10" t="str">
        <f>Processes!D45</f>
        <v>MINFIW</v>
      </c>
      <c r="C63" s="10" t="str">
        <f>Processes!E45</f>
        <v>Mining technology - Firewood</v>
      </c>
      <c r="D63" s="263"/>
      <c r="E63" s="263" t="str">
        <f t="shared" si="19"/>
        <v>FIW</v>
      </c>
      <c r="F63" s="108" t="str">
        <f t="shared" si="4"/>
        <v>MKr14</v>
      </c>
      <c r="G63" s="575">
        <f t="shared" si="15"/>
        <v>10.924999999999999</v>
      </c>
      <c r="H63" s="575">
        <f t="shared" si="15"/>
        <v>10.924999999999999</v>
      </c>
      <c r="I63" s="575">
        <f t="shared" si="15"/>
        <v>10.924999999999999</v>
      </c>
      <c r="J63" s="575">
        <f t="shared" si="15"/>
        <v>10.85375</v>
      </c>
      <c r="K63" s="575">
        <f t="shared" si="15"/>
        <v>10.758749999999999</v>
      </c>
      <c r="L63" s="575">
        <f t="shared" si="15"/>
        <v>10.663749999999999</v>
      </c>
      <c r="M63" s="575">
        <f t="shared" si="15"/>
        <v>10.782499999999999</v>
      </c>
      <c r="N63" s="575">
        <f t="shared" si="15"/>
        <v>10.901249999999999</v>
      </c>
      <c r="O63" s="575">
        <f t="shared" si="15"/>
        <v>10.730124648091341</v>
      </c>
      <c r="P63" s="575">
        <f t="shared" si="15"/>
        <v>10.715430133707843</v>
      </c>
      <c r="Q63" s="575">
        <f t="shared" si="16"/>
        <v>10.746492554494237</v>
      </c>
      <c r="R63" s="575">
        <f t="shared" si="16"/>
        <v>10.732684405304685</v>
      </c>
      <c r="S63" s="575">
        <f t="shared" si="16"/>
        <v>10.780628850012421</v>
      </c>
      <c r="T63" s="575">
        <f t="shared" si="16"/>
        <v>10.840553057347062</v>
      </c>
      <c r="U63" s="575">
        <f t="shared" si="16"/>
        <v>10.906716085798955</v>
      </c>
      <c r="V63" s="575">
        <f t="shared" si="16"/>
        <v>10.974162843046438</v>
      </c>
      <c r="W63" s="575">
        <f t="shared" si="16"/>
        <v>11.024686107813467</v>
      </c>
      <c r="X63" s="575">
        <f t="shared" si="16"/>
        <v>11.074876589408671</v>
      </c>
      <c r="Y63" s="575">
        <f t="shared" si="16"/>
        <v>11.124482074229876</v>
      </c>
      <c r="Z63" s="575">
        <f t="shared" si="16"/>
        <v>11.175335427854854</v>
      </c>
      <c r="AA63" s="575">
        <f t="shared" si="17"/>
        <v>11.224987766246828</v>
      </c>
      <c r="AB63" s="575">
        <f t="shared" si="17"/>
        <v>11.248752701238773</v>
      </c>
      <c r="AC63" s="575">
        <f t="shared" si="17"/>
        <v>11.272474096575461</v>
      </c>
      <c r="AD63" s="575">
        <f t="shared" si="17"/>
        <v>11.296152229911295</v>
      </c>
      <c r="AE63" s="575">
        <f t="shared" si="17"/>
        <v>11.319787374521505</v>
      </c>
      <c r="AF63" s="575">
        <f t="shared" si="17"/>
        <v>11.343379799348559</v>
      </c>
      <c r="AG63" s="575">
        <f t="shared" si="17"/>
        <v>11.367119955893845</v>
      </c>
      <c r="AH63" s="575">
        <f t="shared" si="17"/>
        <v>11.390790720543075</v>
      </c>
      <c r="AI63" s="575">
        <f t="shared" si="17"/>
        <v>11.414392552318546</v>
      </c>
      <c r="AJ63" s="575">
        <f t="shared" si="17"/>
        <v>11.437925903997693</v>
      </c>
      <c r="AK63" s="575">
        <f t="shared" si="18"/>
        <v>11.46139122218</v>
      </c>
      <c r="AL63" s="575">
        <f t="shared" si="18"/>
        <v>11.489686344650814</v>
      </c>
      <c r="AM63" s="575">
        <f t="shared" si="18"/>
        <v>11.517874977929665</v>
      </c>
      <c r="AN63" s="575">
        <f t="shared" si="18"/>
        <v>11.545957794726457</v>
      </c>
      <c r="AO63" s="575">
        <f t="shared" si="18"/>
        <v>11.573935459281472</v>
      </c>
      <c r="AP63" s="575">
        <f t="shared" si="18"/>
        <v>11.601808627456879</v>
      </c>
      <c r="AQ63" s="575">
        <f t="shared" si="18"/>
        <v>11.643336519481345</v>
      </c>
      <c r="AR63" s="575">
        <f t="shared" si="18"/>
        <v>11.684695878374965</v>
      </c>
      <c r="AS63" s="575">
        <f t="shared" si="18"/>
        <v>11.725887629656675</v>
      </c>
      <c r="AT63" s="575">
        <f t="shared" si="18"/>
        <v>11.766912687714989</v>
      </c>
      <c r="AU63" s="575">
        <f t="shared" si="18"/>
        <v>11.807771955929171</v>
      </c>
      <c r="AV63" s="635"/>
      <c r="AW63" s="635"/>
      <c r="AX63" s="635"/>
      <c r="AY63" s="635"/>
      <c r="AZ63" s="635"/>
      <c r="BA63" s="635"/>
      <c r="BB63" s="635"/>
      <c r="BC63" s="635"/>
      <c r="BD63" s="616"/>
      <c r="BE63" s="616"/>
      <c r="BF63" s="616"/>
      <c r="BG63" s="616"/>
      <c r="BH63" s="616"/>
      <c r="BI63" s="616"/>
      <c r="BJ63" s="616"/>
      <c r="BK63" s="576"/>
      <c r="BL63" s="576"/>
      <c r="BM63" s="576"/>
      <c r="BN63" s="576"/>
      <c r="BO63" s="576"/>
      <c r="BP63" s="576"/>
      <c r="BQ63" s="576"/>
      <c r="BR63" s="576"/>
      <c r="BS63" s="576"/>
      <c r="BT63" s="576"/>
      <c r="BU63" s="576"/>
      <c r="BV63" s="576"/>
      <c r="BW63" s="576"/>
      <c r="BX63" s="576"/>
      <c r="BY63" s="576"/>
      <c r="BZ63" s="576"/>
      <c r="CA63" s="576"/>
      <c r="CB63" s="576"/>
      <c r="CC63" s="576"/>
      <c r="CD63" s="576"/>
      <c r="CE63" s="576"/>
      <c r="CF63" s="576"/>
      <c r="CG63" s="576"/>
      <c r="CH63" s="576"/>
      <c r="CI63" s="576"/>
      <c r="CJ63" s="576"/>
      <c r="CK63" s="576"/>
      <c r="CL63" s="576"/>
      <c r="CM63" s="576"/>
      <c r="CN63" s="576"/>
      <c r="CO63" s="576"/>
      <c r="CP63" s="576"/>
      <c r="CQ63" s="576"/>
      <c r="CR63" s="576"/>
      <c r="CS63" s="576"/>
      <c r="CT63" s="576"/>
      <c r="CU63" s="576"/>
      <c r="CV63" s="576"/>
      <c r="CW63" s="576"/>
      <c r="CX63" s="576"/>
      <c r="CY63" s="576"/>
      <c r="CZ63" s="576"/>
      <c r="DA63" s="576"/>
      <c r="DB63" s="576"/>
      <c r="DC63" s="576"/>
    </row>
    <row r="64" spans="2:107" s="9" customFormat="1" ht="15">
      <c r="B64" s="10" t="str">
        <f>Processes!D46</f>
        <v>MINCRN</v>
      </c>
      <c r="C64" s="10" t="str">
        <f>Processes!E46</f>
        <v>Mining technology - Corn</v>
      </c>
      <c r="D64" s="263"/>
      <c r="E64" s="263" t="str">
        <f t="shared" si="19"/>
        <v>CRN</v>
      </c>
      <c r="F64" s="108" t="str">
        <f t="shared" si="4"/>
        <v>MKr14</v>
      </c>
      <c r="G64" s="575">
        <f t="shared" si="15"/>
        <v>68.78</v>
      </c>
      <c r="H64" s="575">
        <f t="shared" si="15"/>
        <v>68.78</v>
      </c>
      <c r="I64" s="575">
        <f t="shared" si="15"/>
        <v>68.78</v>
      </c>
      <c r="J64" s="575">
        <f t="shared" si="15"/>
        <v>68.78</v>
      </c>
      <c r="K64" s="575">
        <f t="shared" si="15"/>
        <v>68.78</v>
      </c>
      <c r="L64" s="575">
        <f t="shared" si="15"/>
        <v>68.78</v>
      </c>
      <c r="M64" s="575">
        <f t="shared" si="15"/>
        <v>68.78</v>
      </c>
      <c r="N64" s="575">
        <f t="shared" si="15"/>
        <v>68.78</v>
      </c>
      <c r="O64" s="575">
        <f t="shared" si="15"/>
        <v>68.78</v>
      </c>
      <c r="P64" s="575">
        <f t="shared" si="15"/>
        <v>68.78</v>
      </c>
      <c r="Q64" s="575">
        <f t="shared" si="16"/>
        <v>68.78</v>
      </c>
      <c r="R64" s="575">
        <f t="shared" si="16"/>
        <v>68.78</v>
      </c>
      <c r="S64" s="575">
        <f t="shared" si="16"/>
        <v>68.78</v>
      </c>
      <c r="T64" s="575">
        <f t="shared" si="16"/>
        <v>68.78</v>
      </c>
      <c r="U64" s="575">
        <f t="shared" si="16"/>
        <v>68.78</v>
      </c>
      <c r="V64" s="575">
        <f t="shared" si="16"/>
        <v>68.78</v>
      </c>
      <c r="W64" s="575">
        <f t="shared" si="16"/>
        <v>68.78</v>
      </c>
      <c r="X64" s="575">
        <f t="shared" si="16"/>
        <v>68.78</v>
      </c>
      <c r="Y64" s="575">
        <f t="shared" si="16"/>
        <v>68.78</v>
      </c>
      <c r="Z64" s="575">
        <f t="shared" si="16"/>
        <v>68.78</v>
      </c>
      <c r="AA64" s="575">
        <f t="shared" si="17"/>
        <v>68.78</v>
      </c>
      <c r="AB64" s="575">
        <f t="shared" si="17"/>
        <v>68.78</v>
      </c>
      <c r="AC64" s="575">
        <f t="shared" si="17"/>
        <v>68.78</v>
      </c>
      <c r="AD64" s="575">
        <f t="shared" si="17"/>
        <v>68.78</v>
      </c>
      <c r="AE64" s="575">
        <f t="shared" si="17"/>
        <v>68.78</v>
      </c>
      <c r="AF64" s="575">
        <f t="shared" si="17"/>
        <v>68.78</v>
      </c>
      <c r="AG64" s="575">
        <f t="shared" si="17"/>
        <v>68.78</v>
      </c>
      <c r="AH64" s="575">
        <f t="shared" si="17"/>
        <v>68.78</v>
      </c>
      <c r="AI64" s="575">
        <f t="shared" si="17"/>
        <v>68.78</v>
      </c>
      <c r="AJ64" s="575">
        <f t="shared" si="17"/>
        <v>68.78</v>
      </c>
      <c r="AK64" s="575">
        <f t="shared" si="18"/>
        <v>68.78</v>
      </c>
      <c r="AL64" s="575">
        <f t="shared" si="18"/>
        <v>68.78</v>
      </c>
      <c r="AM64" s="575">
        <f t="shared" si="18"/>
        <v>68.78</v>
      </c>
      <c r="AN64" s="575">
        <f t="shared" si="18"/>
        <v>68.78</v>
      </c>
      <c r="AO64" s="575">
        <f t="shared" si="18"/>
        <v>68.78</v>
      </c>
      <c r="AP64" s="575">
        <f t="shared" si="18"/>
        <v>68.78</v>
      </c>
      <c r="AQ64" s="575">
        <f t="shared" si="18"/>
        <v>68.78</v>
      </c>
      <c r="AR64" s="575">
        <f t="shared" si="18"/>
        <v>68.78</v>
      </c>
      <c r="AS64" s="575">
        <f t="shared" si="18"/>
        <v>68.78</v>
      </c>
      <c r="AT64" s="575">
        <f t="shared" si="18"/>
        <v>68.78</v>
      </c>
      <c r="AU64" s="575">
        <f t="shared" si="18"/>
        <v>68.78</v>
      </c>
      <c r="AV64" s="635"/>
      <c r="AW64" s="635"/>
      <c r="AX64" s="635"/>
      <c r="AY64" s="635"/>
      <c r="AZ64" s="635"/>
      <c r="BA64" s="635"/>
      <c r="BB64" s="635"/>
      <c r="BC64" s="635"/>
      <c r="BD64" s="616"/>
      <c r="BE64" s="616"/>
      <c r="BF64" s="616"/>
      <c r="BG64" s="616"/>
      <c r="BH64" s="616"/>
      <c r="BI64" s="616"/>
      <c r="BJ64" s="616"/>
      <c r="BK64" s="576"/>
      <c r="BL64" s="576"/>
      <c r="BM64" s="576"/>
      <c r="BN64" s="576"/>
      <c r="BO64" s="576"/>
      <c r="BP64" s="576"/>
      <c r="BQ64" s="576"/>
      <c r="BR64" s="576"/>
      <c r="BS64" s="576"/>
      <c r="BT64" s="576"/>
      <c r="BU64" s="576"/>
      <c r="BV64" s="576"/>
      <c r="BW64" s="576"/>
      <c r="BX64" s="576"/>
      <c r="BY64" s="576"/>
      <c r="BZ64" s="576"/>
      <c r="CA64" s="576"/>
      <c r="CB64" s="576"/>
      <c r="CC64" s="576"/>
      <c r="CD64" s="576"/>
      <c r="CE64" s="576"/>
      <c r="CF64" s="576"/>
      <c r="CG64" s="576"/>
      <c r="CH64" s="576"/>
      <c r="CI64" s="576"/>
      <c r="CJ64" s="576"/>
      <c r="CK64" s="576"/>
      <c r="CL64" s="576"/>
      <c r="CM64" s="576"/>
      <c r="CN64" s="576"/>
      <c r="CO64" s="576"/>
      <c r="CP64" s="576"/>
      <c r="CQ64" s="576"/>
      <c r="CR64" s="576"/>
      <c r="CS64" s="576"/>
      <c r="CT64" s="576"/>
      <c r="CU64" s="576"/>
      <c r="CV64" s="576"/>
      <c r="CW64" s="576"/>
      <c r="CX64" s="576"/>
      <c r="CY64" s="576"/>
      <c r="CZ64" s="576"/>
      <c r="DA64" s="576"/>
      <c r="DB64" s="576"/>
      <c r="DC64" s="576"/>
    </row>
    <row r="65" spans="2:107" s="9" customFormat="1" ht="15">
      <c r="B65" s="10" t="str">
        <f>Processes!D47</f>
        <v>MINRPS</v>
      </c>
      <c r="C65" s="10" t="str">
        <f>Processes!E47</f>
        <v>Mining technology - Rapeseed</v>
      </c>
      <c r="D65" s="263"/>
      <c r="E65" s="263" t="str">
        <f t="shared" si="19"/>
        <v>RPS</v>
      </c>
      <c r="F65" s="108" t="str">
        <f t="shared" si="4"/>
        <v>MKr14</v>
      </c>
      <c r="G65" s="575">
        <f t="shared" si="15"/>
        <v>96.614999999999995</v>
      </c>
      <c r="H65" s="575">
        <f t="shared" si="15"/>
        <v>96.614999999999995</v>
      </c>
      <c r="I65" s="575">
        <f t="shared" si="15"/>
        <v>96.614999999999995</v>
      </c>
      <c r="J65" s="575">
        <f t="shared" si="15"/>
        <v>96.614999999999995</v>
      </c>
      <c r="K65" s="575">
        <f t="shared" si="15"/>
        <v>96.614999999999995</v>
      </c>
      <c r="L65" s="575">
        <f t="shared" si="15"/>
        <v>96.614999999999995</v>
      </c>
      <c r="M65" s="575">
        <f t="shared" si="15"/>
        <v>96.614999999999995</v>
      </c>
      <c r="N65" s="575">
        <f t="shared" si="15"/>
        <v>96.614999999999995</v>
      </c>
      <c r="O65" s="575">
        <f t="shared" si="15"/>
        <v>96.614999999999995</v>
      </c>
      <c r="P65" s="575">
        <f t="shared" si="15"/>
        <v>96.614999999999995</v>
      </c>
      <c r="Q65" s="575">
        <f t="shared" si="16"/>
        <v>96.614999999999995</v>
      </c>
      <c r="R65" s="575">
        <f t="shared" si="16"/>
        <v>96.614999999999995</v>
      </c>
      <c r="S65" s="575">
        <f t="shared" si="16"/>
        <v>96.614999999999995</v>
      </c>
      <c r="T65" s="575">
        <f t="shared" si="16"/>
        <v>96.614999999999995</v>
      </c>
      <c r="U65" s="575">
        <f t="shared" si="16"/>
        <v>96.614999999999995</v>
      </c>
      <c r="V65" s="575">
        <f t="shared" si="16"/>
        <v>96.614999999999995</v>
      </c>
      <c r="W65" s="575">
        <f t="shared" si="16"/>
        <v>96.614999999999995</v>
      </c>
      <c r="X65" s="575">
        <f t="shared" si="16"/>
        <v>96.614999999999995</v>
      </c>
      <c r="Y65" s="575">
        <f t="shared" si="16"/>
        <v>96.614999999999995</v>
      </c>
      <c r="Z65" s="575">
        <f t="shared" si="16"/>
        <v>96.614999999999995</v>
      </c>
      <c r="AA65" s="575">
        <f t="shared" si="17"/>
        <v>96.614999999999995</v>
      </c>
      <c r="AB65" s="575">
        <f t="shared" si="17"/>
        <v>96.614999999999995</v>
      </c>
      <c r="AC65" s="575">
        <f t="shared" si="17"/>
        <v>96.614999999999995</v>
      </c>
      <c r="AD65" s="575">
        <f t="shared" si="17"/>
        <v>96.614999999999995</v>
      </c>
      <c r="AE65" s="575">
        <f t="shared" si="17"/>
        <v>96.614999999999995</v>
      </c>
      <c r="AF65" s="575">
        <f t="shared" si="17"/>
        <v>96.614999999999995</v>
      </c>
      <c r="AG65" s="575">
        <f t="shared" si="17"/>
        <v>96.614999999999995</v>
      </c>
      <c r="AH65" s="575">
        <f t="shared" si="17"/>
        <v>96.614999999999995</v>
      </c>
      <c r="AI65" s="575">
        <f t="shared" si="17"/>
        <v>96.614999999999995</v>
      </c>
      <c r="AJ65" s="575">
        <f t="shared" si="17"/>
        <v>96.614999999999995</v>
      </c>
      <c r="AK65" s="575">
        <f t="shared" si="18"/>
        <v>96.614999999999995</v>
      </c>
      <c r="AL65" s="575">
        <f t="shared" si="18"/>
        <v>96.614999999999995</v>
      </c>
      <c r="AM65" s="575">
        <f t="shared" si="18"/>
        <v>96.614999999999995</v>
      </c>
      <c r="AN65" s="575">
        <f t="shared" si="18"/>
        <v>96.614999999999995</v>
      </c>
      <c r="AO65" s="575">
        <f t="shared" si="18"/>
        <v>96.614999999999995</v>
      </c>
      <c r="AP65" s="575">
        <f t="shared" si="18"/>
        <v>96.614999999999995</v>
      </c>
      <c r="AQ65" s="575">
        <f t="shared" si="18"/>
        <v>96.614999999999995</v>
      </c>
      <c r="AR65" s="575">
        <f t="shared" si="18"/>
        <v>96.614999999999995</v>
      </c>
      <c r="AS65" s="575">
        <f t="shared" si="18"/>
        <v>96.614999999999995</v>
      </c>
      <c r="AT65" s="575">
        <f t="shared" si="18"/>
        <v>96.614999999999995</v>
      </c>
      <c r="AU65" s="575">
        <f t="shared" si="18"/>
        <v>96.614999999999995</v>
      </c>
      <c r="AV65" s="635"/>
      <c r="AW65" s="635"/>
      <c r="AX65" s="635"/>
      <c r="AY65" s="635"/>
      <c r="AZ65" s="635"/>
      <c r="BA65" s="635"/>
      <c r="BB65" s="635"/>
      <c r="BC65" s="635"/>
      <c r="BD65" s="616"/>
      <c r="BE65" s="616"/>
      <c r="BF65" s="616"/>
      <c r="BG65" s="616"/>
      <c r="BH65" s="616"/>
      <c r="BI65" s="616"/>
      <c r="BJ65" s="616"/>
      <c r="BK65" s="576"/>
      <c r="BL65" s="576"/>
      <c r="BM65" s="576"/>
      <c r="BN65" s="576"/>
      <c r="BO65" s="576"/>
      <c r="BP65" s="576"/>
      <c r="BQ65" s="576"/>
      <c r="BR65" s="576"/>
      <c r="BS65" s="576"/>
      <c r="BT65" s="576"/>
      <c r="BU65" s="576"/>
      <c r="BV65" s="576"/>
      <c r="BW65" s="576"/>
      <c r="BX65" s="576"/>
      <c r="BY65" s="576"/>
      <c r="BZ65" s="576"/>
      <c r="CA65" s="576"/>
      <c r="CB65" s="576"/>
      <c r="CC65" s="576"/>
      <c r="CD65" s="576"/>
      <c r="CE65" s="576"/>
      <c r="CF65" s="576"/>
      <c r="CG65" s="576"/>
      <c r="CH65" s="576"/>
      <c r="CI65" s="576"/>
      <c r="CJ65" s="576"/>
      <c r="CK65" s="576"/>
      <c r="CL65" s="576"/>
      <c r="CM65" s="576"/>
      <c r="CN65" s="576"/>
      <c r="CO65" s="576"/>
      <c r="CP65" s="576"/>
      <c r="CQ65" s="576"/>
      <c r="CR65" s="576"/>
      <c r="CS65" s="576"/>
      <c r="CT65" s="576"/>
      <c r="CU65" s="576"/>
      <c r="CV65" s="576"/>
      <c r="CW65" s="576"/>
      <c r="CX65" s="576"/>
      <c r="CY65" s="576"/>
      <c r="CZ65" s="576"/>
      <c r="DA65" s="576"/>
      <c r="DB65" s="576"/>
      <c r="DC65" s="576"/>
    </row>
    <row r="66" spans="2:107" s="9" customFormat="1" ht="15">
      <c r="B66" s="638" t="str">
        <f>Processes!D48</f>
        <v>MINSGB</v>
      </c>
      <c r="C66" s="638" t="str">
        <f>Processes!E48</f>
        <v>Mining technology - Sugar Beet</v>
      </c>
      <c r="D66" s="639"/>
      <c r="E66" s="639" t="str">
        <f t="shared" si="19"/>
        <v>SGB</v>
      </c>
      <c r="F66" s="108" t="str">
        <f t="shared" si="4"/>
        <v>MKr14</v>
      </c>
      <c r="G66" s="640">
        <f t="shared" si="15"/>
        <v>10.069999999999999</v>
      </c>
      <c r="H66" s="640">
        <f t="shared" si="15"/>
        <v>10.069999999999999</v>
      </c>
      <c r="I66" s="640">
        <f t="shared" si="15"/>
        <v>10.069999999999999</v>
      </c>
      <c r="J66" s="640">
        <f t="shared" si="15"/>
        <v>10.069999999999999</v>
      </c>
      <c r="K66" s="640">
        <f t="shared" si="15"/>
        <v>10.069999999999999</v>
      </c>
      <c r="L66" s="640">
        <f t="shared" si="15"/>
        <v>10.069999999999999</v>
      </c>
      <c r="M66" s="640">
        <f t="shared" si="15"/>
        <v>10.069999999999999</v>
      </c>
      <c r="N66" s="640">
        <f t="shared" si="15"/>
        <v>10.069999999999999</v>
      </c>
      <c r="O66" s="640">
        <f t="shared" si="15"/>
        <v>10.069999999999999</v>
      </c>
      <c r="P66" s="640">
        <f t="shared" si="15"/>
        <v>10.069999999999999</v>
      </c>
      <c r="Q66" s="640">
        <f t="shared" si="16"/>
        <v>10.069999999999999</v>
      </c>
      <c r="R66" s="640">
        <f t="shared" si="16"/>
        <v>10.069999999999999</v>
      </c>
      <c r="S66" s="640">
        <f t="shared" si="16"/>
        <v>10.069999999999999</v>
      </c>
      <c r="T66" s="640">
        <f t="shared" si="16"/>
        <v>10.069999999999999</v>
      </c>
      <c r="U66" s="640">
        <f t="shared" si="16"/>
        <v>10.069999999999999</v>
      </c>
      <c r="V66" s="640">
        <f t="shared" si="16"/>
        <v>10.069999999999999</v>
      </c>
      <c r="W66" s="640">
        <f t="shared" si="16"/>
        <v>10.069999999999999</v>
      </c>
      <c r="X66" s="640">
        <f t="shared" si="16"/>
        <v>10.069999999999999</v>
      </c>
      <c r="Y66" s="640">
        <f t="shared" si="16"/>
        <v>10.069999999999999</v>
      </c>
      <c r="Z66" s="640">
        <f t="shared" si="16"/>
        <v>10.069999999999999</v>
      </c>
      <c r="AA66" s="640">
        <f t="shared" si="17"/>
        <v>10.069999999999999</v>
      </c>
      <c r="AB66" s="640">
        <f t="shared" si="17"/>
        <v>10.069999999999999</v>
      </c>
      <c r="AC66" s="640">
        <f t="shared" si="17"/>
        <v>10.069999999999999</v>
      </c>
      <c r="AD66" s="640">
        <f t="shared" si="17"/>
        <v>10.069999999999999</v>
      </c>
      <c r="AE66" s="640">
        <f t="shared" si="17"/>
        <v>10.069999999999999</v>
      </c>
      <c r="AF66" s="640">
        <f t="shared" si="17"/>
        <v>10.069999999999999</v>
      </c>
      <c r="AG66" s="640">
        <f t="shared" si="17"/>
        <v>10.069999999999999</v>
      </c>
      <c r="AH66" s="640">
        <f t="shared" si="17"/>
        <v>10.069999999999999</v>
      </c>
      <c r="AI66" s="640">
        <f t="shared" si="17"/>
        <v>10.069999999999999</v>
      </c>
      <c r="AJ66" s="640">
        <f t="shared" si="17"/>
        <v>10.069999999999999</v>
      </c>
      <c r="AK66" s="640">
        <f t="shared" si="18"/>
        <v>10.069999999999999</v>
      </c>
      <c r="AL66" s="640">
        <f t="shared" si="18"/>
        <v>10.069999999999999</v>
      </c>
      <c r="AM66" s="640">
        <f t="shared" si="18"/>
        <v>10.069999999999999</v>
      </c>
      <c r="AN66" s="640">
        <f t="shared" si="18"/>
        <v>10.069999999999999</v>
      </c>
      <c r="AO66" s="640">
        <f t="shared" si="18"/>
        <v>10.069999999999999</v>
      </c>
      <c r="AP66" s="640">
        <f t="shared" si="18"/>
        <v>10.069999999999999</v>
      </c>
      <c r="AQ66" s="640">
        <f t="shared" si="18"/>
        <v>10.069999999999999</v>
      </c>
      <c r="AR66" s="640">
        <f t="shared" si="18"/>
        <v>10.069999999999999</v>
      </c>
      <c r="AS66" s="640">
        <f t="shared" si="18"/>
        <v>10.069999999999999</v>
      </c>
      <c r="AT66" s="640">
        <f t="shared" si="18"/>
        <v>10.069999999999999</v>
      </c>
      <c r="AU66" s="640">
        <f t="shared" si="18"/>
        <v>10.069999999999999</v>
      </c>
      <c r="AV66" s="623"/>
      <c r="AW66" s="623"/>
      <c r="AX66" s="623"/>
      <c r="AY66" s="623"/>
      <c r="AZ66" s="623"/>
      <c r="BA66" s="623"/>
      <c r="BB66" s="623"/>
      <c r="BC66" s="623"/>
      <c r="BD66" s="624"/>
      <c r="BE66" s="616"/>
      <c r="BF66" s="616"/>
      <c r="BG66" s="616"/>
      <c r="BH66" s="616"/>
      <c r="BI66" s="616"/>
      <c r="BJ66" s="616"/>
      <c r="BK66" s="576"/>
      <c r="BL66" s="576"/>
      <c r="BM66" s="576"/>
      <c r="BN66" s="576"/>
      <c r="BO66" s="576"/>
      <c r="BP66" s="576"/>
      <c r="BQ66" s="576"/>
      <c r="BR66" s="576"/>
      <c r="BS66" s="576"/>
      <c r="BT66" s="576"/>
      <c r="BU66" s="576"/>
      <c r="BV66" s="576"/>
      <c r="BW66" s="576"/>
      <c r="BX66" s="576"/>
      <c r="BY66" s="576"/>
      <c r="BZ66" s="576"/>
      <c r="CA66" s="576"/>
      <c r="CB66" s="576"/>
      <c r="CC66" s="576"/>
      <c r="CD66" s="576"/>
      <c r="CE66" s="576"/>
      <c r="CF66" s="576"/>
      <c r="CG66" s="576"/>
      <c r="CH66" s="576"/>
      <c r="CI66" s="576"/>
      <c r="CJ66" s="576"/>
      <c r="CK66" s="576"/>
      <c r="CL66" s="576"/>
      <c r="CM66" s="576"/>
      <c r="CN66" s="576"/>
      <c r="CO66" s="576"/>
      <c r="CP66" s="576"/>
      <c r="CQ66" s="576"/>
      <c r="CR66" s="576"/>
      <c r="CS66" s="576"/>
      <c r="CT66" s="576"/>
      <c r="CU66" s="576"/>
      <c r="CV66" s="576"/>
      <c r="CW66" s="576"/>
      <c r="CX66" s="576"/>
      <c r="CY66" s="576"/>
      <c r="CZ66" s="576"/>
      <c r="DA66" s="576"/>
      <c r="DB66" s="576"/>
      <c r="DC66" s="576"/>
    </row>
    <row r="67" spans="2:107" s="9" customFormat="1" ht="15">
      <c r="B67" s="10" t="str">
        <f>Processes!D49</f>
        <v>EXPNGA</v>
      </c>
      <c r="C67" s="10" t="str">
        <f>Processes!E49</f>
        <v>Export technology - Natural Gas</v>
      </c>
      <c r="D67" s="263" t="str">
        <f>RIGHT(B67,3)</f>
        <v>NGA</v>
      </c>
      <c r="E67" s="263"/>
      <c r="F67" s="108" t="str">
        <f>VLOOKUP(D67,$E$113:$F$166,2,FALSE)</f>
        <v>MKr19</v>
      </c>
      <c r="G67" s="575">
        <f t="shared" ref="G67:P75" si="20">IFERROR(INDEX($G$113:$AU$169,MATCH($D67,$E$113:$E$169,0),MATCH(G$23,$G$112:$AU$112,0)),0)*$E$182</f>
        <v>42.18</v>
      </c>
      <c r="H67" s="575">
        <f t="shared" si="20"/>
        <v>43.795000000000002</v>
      </c>
      <c r="I67" s="575">
        <f t="shared" si="20"/>
        <v>52.344999999999999</v>
      </c>
      <c r="J67" s="575">
        <f t="shared" si="20"/>
        <v>51.49</v>
      </c>
      <c r="K67" s="575">
        <f t="shared" si="20"/>
        <v>43.414999999999999</v>
      </c>
      <c r="L67" s="575">
        <f t="shared" si="20"/>
        <v>41.8</v>
      </c>
      <c r="M67" s="575">
        <f t="shared" si="20"/>
        <v>34.959999999999994</v>
      </c>
      <c r="N67" s="575">
        <f t="shared" si="20"/>
        <v>35.055</v>
      </c>
      <c r="O67" s="575">
        <f t="shared" si="20"/>
        <v>50.751074212757736</v>
      </c>
      <c r="P67" s="575">
        <f t="shared" si="20"/>
        <v>32.54796067858944</v>
      </c>
      <c r="Q67" s="575">
        <f t="shared" ref="Q67:Z75" si="21">IFERROR(INDEX($G$113:$AU$169,MATCH($D67,$E$113:$E$169,0),MATCH(Q$23,$G$112:$AU$112,0)),0)*$E$182</f>
        <v>31.727957487158143</v>
      </c>
      <c r="R67" s="575">
        <f t="shared" si="21"/>
        <v>29.949025524166288</v>
      </c>
      <c r="S67" s="575">
        <f t="shared" si="21"/>
        <v>31.124421190464801</v>
      </c>
      <c r="T67" s="575">
        <f t="shared" si="21"/>
        <v>31.69930389723169</v>
      </c>
      <c r="U67" s="575">
        <f t="shared" si="21"/>
        <v>31.888767724343968</v>
      </c>
      <c r="V67" s="575">
        <f t="shared" si="21"/>
        <v>31.830779289767982</v>
      </c>
      <c r="W67" s="575">
        <f t="shared" si="21"/>
        <v>31.794257244088858</v>
      </c>
      <c r="X67" s="575">
        <f t="shared" si="21"/>
        <v>31.770799731920086</v>
      </c>
      <c r="Y67" s="575">
        <f t="shared" si="21"/>
        <v>31.750709610930787</v>
      </c>
      <c r="Z67" s="575">
        <f t="shared" si="21"/>
        <v>31.743509235621186</v>
      </c>
      <c r="AA67" s="575">
        <f t="shared" ref="AA67:AJ75" si="22">IFERROR(INDEX($G$113:$AU$169,MATCH($D67,$E$113:$E$169,0),MATCH(AA$23,$G$112:$AU$112,0)),0)*$E$182</f>
        <v>31.741544979889387</v>
      </c>
      <c r="AB67" s="575">
        <f t="shared" si="22"/>
        <v>31.785326421240963</v>
      </c>
      <c r="AC67" s="575">
        <f t="shared" si="22"/>
        <v>31.829107862592537</v>
      </c>
      <c r="AD67" s="575">
        <f t="shared" si="22"/>
        <v>31.872889303944106</v>
      </c>
      <c r="AE67" s="575">
        <f t="shared" si="22"/>
        <v>31.916670745295676</v>
      </c>
      <c r="AF67" s="575">
        <f t="shared" si="22"/>
        <v>31.960452186647256</v>
      </c>
      <c r="AG67" s="575">
        <f t="shared" si="22"/>
        <v>32.004233627998829</v>
      </c>
      <c r="AH67" s="575">
        <f t="shared" si="22"/>
        <v>32.048015069350392</v>
      </c>
      <c r="AI67" s="575">
        <f t="shared" si="22"/>
        <v>32.091796510701968</v>
      </c>
      <c r="AJ67" s="575">
        <f t="shared" si="22"/>
        <v>32.135577952053531</v>
      </c>
      <c r="AK67" s="575">
        <f t="shared" ref="AK67:AU75" si="23">IFERROR(INDEX($G$113:$AU$169,MATCH($D67,$E$113:$E$169,0),MATCH(AK$23,$G$112:$AU$112,0)),0)*$E$182</f>
        <v>32.179359393405107</v>
      </c>
      <c r="AL67" s="575">
        <f t="shared" si="23"/>
        <v>32.223140834756684</v>
      </c>
      <c r="AM67" s="575">
        <f t="shared" si="23"/>
        <v>32.266922276108254</v>
      </c>
      <c r="AN67" s="575">
        <f t="shared" si="23"/>
        <v>32.310703717459816</v>
      </c>
      <c r="AO67" s="575">
        <f t="shared" si="23"/>
        <v>32.354485158811393</v>
      </c>
      <c r="AP67" s="575">
        <f t="shared" si="23"/>
        <v>32.39826660016297</v>
      </c>
      <c r="AQ67" s="575">
        <f t="shared" si="23"/>
        <v>32.442048041514546</v>
      </c>
      <c r="AR67" s="575">
        <f t="shared" si="23"/>
        <v>32.485829482866109</v>
      </c>
      <c r="AS67" s="575">
        <f t="shared" si="23"/>
        <v>32.529610924217685</v>
      </c>
      <c r="AT67" s="575">
        <f t="shared" si="23"/>
        <v>32.573392365569248</v>
      </c>
      <c r="AU67" s="575">
        <f t="shared" si="23"/>
        <v>32.617173806920832</v>
      </c>
      <c r="AV67" s="616"/>
      <c r="AW67" s="616"/>
      <c r="AX67" s="616"/>
      <c r="AY67" s="616"/>
      <c r="AZ67" s="616"/>
      <c r="BA67" s="616"/>
      <c r="BB67" s="616"/>
      <c r="BC67" s="616"/>
      <c r="BD67" s="616"/>
      <c r="BE67" s="616"/>
      <c r="BF67" s="616"/>
      <c r="BG67" s="616"/>
      <c r="BH67" s="616"/>
      <c r="BI67" s="616"/>
      <c r="BJ67" s="616"/>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row>
    <row r="68" spans="2:107" s="9" customFormat="1" ht="15">
      <c r="B68" s="10" t="str">
        <f>Processes!D50</f>
        <v>EXPBGA</v>
      </c>
      <c r="C68" s="10" t="str">
        <f>Processes!E50</f>
        <v>Export technology - Biogas</v>
      </c>
      <c r="D68" s="263" t="str">
        <f>RIGHT(B68,3)</f>
        <v>BGA</v>
      </c>
      <c r="E68" s="263"/>
      <c r="F68" s="108" t="str">
        <f t="shared" ref="F68:F91" si="24">VLOOKUP(D68,$E$113:$F$166,2,FALSE)</f>
        <v>MKr19</v>
      </c>
      <c r="G68" s="575">
        <f>G67</f>
        <v>42.18</v>
      </c>
      <c r="H68" s="575">
        <f t="shared" ref="H68:AU68" si="25">H67</f>
        <v>43.795000000000002</v>
      </c>
      <c r="I68" s="575">
        <f t="shared" si="25"/>
        <v>52.344999999999999</v>
      </c>
      <c r="J68" s="575">
        <f t="shared" si="25"/>
        <v>51.49</v>
      </c>
      <c r="K68" s="575">
        <f t="shared" si="25"/>
        <v>43.414999999999999</v>
      </c>
      <c r="L68" s="575">
        <f t="shared" si="25"/>
        <v>41.8</v>
      </c>
      <c r="M68" s="575">
        <f t="shared" si="25"/>
        <v>34.959999999999994</v>
      </c>
      <c r="N68" s="575">
        <f t="shared" si="25"/>
        <v>35.055</v>
      </c>
      <c r="O68" s="575">
        <f t="shared" si="25"/>
        <v>50.751074212757736</v>
      </c>
      <c r="P68" s="575">
        <f t="shared" si="25"/>
        <v>32.54796067858944</v>
      </c>
      <c r="Q68" s="575">
        <f t="shared" si="25"/>
        <v>31.727957487158143</v>
      </c>
      <c r="R68" s="575">
        <f t="shared" si="25"/>
        <v>29.949025524166288</v>
      </c>
      <c r="S68" s="575">
        <f t="shared" si="25"/>
        <v>31.124421190464801</v>
      </c>
      <c r="T68" s="575">
        <f t="shared" si="25"/>
        <v>31.69930389723169</v>
      </c>
      <c r="U68" s="575">
        <f t="shared" si="25"/>
        <v>31.888767724343968</v>
      </c>
      <c r="V68" s="575">
        <f t="shared" si="25"/>
        <v>31.830779289767982</v>
      </c>
      <c r="W68" s="575">
        <f t="shared" si="25"/>
        <v>31.794257244088858</v>
      </c>
      <c r="X68" s="575">
        <f t="shared" si="25"/>
        <v>31.770799731920086</v>
      </c>
      <c r="Y68" s="575">
        <f t="shared" si="25"/>
        <v>31.750709610930787</v>
      </c>
      <c r="Z68" s="575">
        <f t="shared" si="25"/>
        <v>31.743509235621186</v>
      </c>
      <c r="AA68" s="575">
        <f t="shared" si="25"/>
        <v>31.741544979889387</v>
      </c>
      <c r="AB68" s="575">
        <f t="shared" si="25"/>
        <v>31.785326421240963</v>
      </c>
      <c r="AC68" s="575">
        <f t="shared" si="25"/>
        <v>31.829107862592537</v>
      </c>
      <c r="AD68" s="575">
        <f t="shared" si="25"/>
        <v>31.872889303944106</v>
      </c>
      <c r="AE68" s="575">
        <f t="shared" si="25"/>
        <v>31.916670745295676</v>
      </c>
      <c r="AF68" s="575">
        <f t="shared" si="25"/>
        <v>31.960452186647256</v>
      </c>
      <c r="AG68" s="575">
        <f t="shared" si="25"/>
        <v>32.004233627998829</v>
      </c>
      <c r="AH68" s="575">
        <f t="shared" si="25"/>
        <v>32.048015069350392</v>
      </c>
      <c r="AI68" s="575">
        <f t="shared" si="25"/>
        <v>32.091796510701968</v>
      </c>
      <c r="AJ68" s="575">
        <f t="shared" si="25"/>
        <v>32.135577952053531</v>
      </c>
      <c r="AK68" s="575">
        <f t="shared" si="25"/>
        <v>32.179359393405107</v>
      </c>
      <c r="AL68" s="575">
        <f t="shared" si="25"/>
        <v>32.223140834756684</v>
      </c>
      <c r="AM68" s="575">
        <f t="shared" si="25"/>
        <v>32.266922276108254</v>
      </c>
      <c r="AN68" s="575">
        <f t="shared" si="25"/>
        <v>32.310703717459816</v>
      </c>
      <c r="AO68" s="575">
        <f t="shared" si="25"/>
        <v>32.354485158811393</v>
      </c>
      <c r="AP68" s="575">
        <f t="shared" si="25"/>
        <v>32.39826660016297</v>
      </c>
      <c r="AQ68" s="575">
        <f t="shared" si="25"/>
        <v>32.442048041514546</v>
      </c>
      <c r="AR68" s="575">
        <f t="shared" si="25"/>
        <v>32.485829482866109</v>
      </c>
      <c r="AS68" s="575">
        <f t="shared" si="25"/>
        <v>32.529610924217685</v>
      </c>
      <c r="AT68" s="575">
        <f t="shared" si="25"/>
        <v>32.573392365569248</v>
      </c>
      <c r="AU68" s="575">
        <f t="shared" si="25"/>
        <v>32.617173806920832</v>
      </c>
      <c r="AV68" s="616"/>
      <c r="AW68" s="616"/>
      <c r="AX68" s="616"/>
      <c r="AY68" s="616"/>
      <c r="AZ68" s="616"/>
      <c r="BA68" s="616"/>
      <c r="BB68" s="616"/>
      <c r="BC68" s="616"/>
      <c r="BD68" s="616"/>
      <c r="BE68" s="616"/>
      <c r="BF68" s="616"/>
      <c r="BG68" s="616"/>
      <c r="BH68" s="616"/>
      <c r="BI68" s="616"/>
      <c r="BJ68" s="616"/>
    </row>
    <row r="69" spans="2:107" s="9" customFormat="1" ht="15">
      <c r="B69" s="10" t="str">
        <f>Processes!D51</f>
        <v>EXPCRD</v>
      </c>
      <c r="C69" s="10" t="str">
        <f>Processes!E51</f>
        <v>Export technology - Crude Oil</v>
      </c>
      <c r="D69" s="263" t="str">
        <f t="shared" ref="D69:D75" si="26">RIGHT(B69,3)</f>
        <v>CRD</v>
      </c>
      <c r="E69" s="263"/>
      <c r="F69" s="108" t="str">
        <f t="shared" si="24"/>
        <v>MKr19</v>
      </c>
      <c r="G69" s="575">
        <f t="shared" si="20"/>
        <v>72.39</v>
      </c>
      <c r="H69" s="575">
        <f t="shared" si="20"/>
        <v>100.79499999999999</v>
      </c>
      <c r="I69" s="575">
        <f t="shared" si="20"/>
        <v>107.255</v>
      </c>
      <c r="J69" s="575">
        <f t="shared" si="20"/>
        <v>95.284999999999997</v>
      </c>
      <c r="K69" s="575">
        <f t="shared" si="20"/>
        <v>92.434999999999988</v>
      </c>
      <c r="L69" s="575">
        <f t="shared" si="20"/>
        <v>59.564999999999998</v>
      </c>
      <c r="M69" s="575">
        <f t="shared" si="20"/>
        <v>56.904999999999994</v>
      </c>
      <c r="N69" s="575">
        <f t="shared" si="20"/>
        <v>60.704999999999998</v>
      </c>
      <c r="O69" s="575">
        <f t="shared" si="20"/>
        <v>74.663266513337106</v>
      </c>
      <c r="P69" s="575">
        <f t="shared" si="20"/>
        <v>69.03441780821916</v>
      </c>
      <c r="Q69" s="575">
        <f t="shared" si="21"/>
        <v>67.631970550230122</v>
      </c>
      <c r="R69" s="575">
        <f t="shared" si="21"/>
        <v>46.72206120455769</v>
      </c>
      <c r="S69" s="575">
        <f t="shared" si="21"/>
        <v>49.952257260471079</v>
      </c>
      <c r="T69" s="575">
        <f t="shared" si="21"/>
        <v>52.145468152516102</v>
      </c>
      <c r="U69" s="575">
        <f t="shared" si="21"/>
        <v>53.739968659338345</v>
      </c>
      <c r="V69" s="575">
        <f t="shared" si="21"/>
        <v>54.897107604482805</v>
      </c>
      <c r="W69" s="575">
        <f t="shared" si="21"/>
        <v>56.188956663113622</v>
      </c>
      <c r="X69" s="575">
        <f t="shared" si="21"/>
        <v>57.454144637525566</v>
      </c>
      <c r="Y69" s="575">
        <f t="shared" si="21"/>
        <v>58.618015544439388</v>
      </c>
      <c r="Z69" s="575">
        <f t="shared" si="21"/>
        <v>59.840122211312412</v>
      </c>
      <c r="AA69" s="575">
        <f t="shared" si="22"/>
        <v>60.99866547075451</v>
      </c>
      <c r="AB69" s="575">
        <f t="shared" si="22"/>
        <v>60.706456294846689</v>
      </c>
      <c r="AC69" s="575">
        <f t="shared" si="22"/>
        <v>60.414247118938881</v>
      </c>
      <c r="AD69" s="575">
        <f t="shared" si="22"/>
        <v>60.122037943031081</v>
      </c>
      <c r="AE69" s="575">
        <f t="shared" si="22"/>
        <v>59.829828767123267</v>
      </c>
      <c r="AF69" s="575">
        <f t="shared" si="22"/>
        <v>59.537619591215467</v>
      </c>
      <c r="AG69" s="575">
        <f t="shared" si="22"/>
        <v>59.24541041530766</v>
      </c>
      <c r="AH69" s="575">
        <f t="shared" si="22"/>
        <v>58.95320123939986</v>
      </c>
      <c r="AI69" s="575">
        <f t="shared" si="22"/>
        <v>58.66099206349206</v>
      </c>
      <c r="AJ69" s="575">
        <f t="shared" si="22"/>
        <v>58.368782887584253</v>
      </c>
      <c r="AK69" s="575">
        <f t="shared" si="23"/>
        <v>58.076573711676446</v>
      </c>
      <c r="AL69" s="575">
        <f t="shared" si="23"/>
        <v>57.784364535768646</v>
      </c>
      <c r="AM69" s="575">
        <f t="shared" si="23"/>
        <v>57.492155359860831</v>
      </c>
      <c r="AN69" s="575">
        <f t="shared" si="23"/>
        <v>57.199946183953024</v>
      </c>
      <c r="AO69" s="575">
        <f t="shared" si="23"/>
        <v>56.907737008045224</v>
      </c>
      <c r="AP69" s="575">
        <f t="shared" si="23"/>
        <v>56.615527832137417</v>
      </c>
      <c r="AQ69" s="575">
        <f t="shared" si="23"/>
        <v>56.32331865622961</v>
      </c>
      <c r="AR69" s="575">
        <f t="shared" si="23"/>
        <v>56.031109480321803</v>
      </c>
      <c r="AS69" s="575">
        <f t="shared" si="23"/>
        <v>55.738900304414003</v>
      </c>
      <c r="AT69" s="575">
        <f t="shared" si="23"/>
        <v>55.446691128506195</v>
      </c>
      <c r="AU69" s="575">
        <f t="shared" si="23"/>
        <v>55.154481952598395</v>
      </c>
      <c r="AV69" s="620">
        <v>152.35535110000001</v>
      </c>
      <c r="AW69" s="620">
        <v>178.85193390000001</v>
      </c>
      <c r="AX69" s="620">
        <v>136.46922304</v>
      </c>
      <c r="AY69" s="620">
        <v>160.20300096</v>
      </c>
      <c r="AZ69" s="620">
        <v>116.62428437999999</v>
      </c>
      <c r="BA69" s="620">
        <v>136.90676862000001</v>
      </c>
      <c r="BB69" s="620">
        <v>295.51345714000001</v>
      </c>
      <c r="BC69" s="620">
        <v>346.90710186000001</v>
      </c>
      <c r="BD69" s="616">
        <v>5</v>
      </c>
      <c r="BE69" s="616"/>
      <c r="BF69" s="616"/>
      <c r="BG69" s="616"/>
      <c r="BH69" s="616"/>
      <c r="BI69" s="616"/>
      <c r="BJ69" s="616"/>
    </row>
    <row r="70" spans="2:107" s="9" customFormat="1" ht="15">
      <c r="B70" s="10" t="str">
        <f>Processes!D52</f>
        <v>EXPLPG</v>
      </c>
      <c r="C70" s="10" t="str">
        <f>Processes!E52</f>
        <v>Export technology - Liquid petrol gas</v>
      </c>
      <c r="D70" s="263" t="str">
        <f t="shared" si="26"/>
        <v>LPG</v>
      </c>
      <c r="E70" s="263"/>
      <c r="F70" s="108" t="str">
        <f t="shared" si="24"/>
        <v>MKr14</v>
      </c>
      <c r="G70" s="575">
        <f t="shared" si="20"/>
        <v>84.36</v>
      </c>
      <c r="H70" s="575">
        <f t="shared" si="20"/>
        <v>87.59</v>
      </c>
      <c r="I70" s="575">
        <f t="shared" si="20"/>
        <v>104.69</v>
      </c>
      <c r="J70" s="575">
        <f t="shared" si="20"/>
        <v>102.98</v>
      </c>
      <c r="K70" s="575">
        <f t="shared" si="20"/>
        <v>86.83</v>
      </c>
      <c r="L70" s="575">
        <f t="shared" si="20"/>
        <v>83.6</v>
      </c>
      <c r="M70" s="575">
        <f t="shared" si="20"/>
        <v>69.919999999999987</v>
      </c>
      <c r="N70" s="575">
        <f t="shared" si="20"/>
        <v>70.11</v>
      </c>
      <c r="O70" s="575">
        <f t="shared" si="20"/>
        <v>101.50214842551547</v>
      </c>
      <c r="P70" s="575">
        <f t="shared" si="20"/>
        <v>65.095921357178881</v>
      </c>
      <c r="Q70" s="575">
        <f t="shared" si="21"/>
        <v>63.455914974316286</v>
      </c>
      <c r="R70" s="575">
        <f t="shared" si="21"/>
        <v>59.898051048332576</v>
      </c>
      <c r="S70" s="575">
        <f t="shared" si="21"/>
        <v>62.248842380929602</v>
      </c>
      <c r="T70" s="575">
        <f t="shared" si="21"/>
        <v>63.398607794463381</v>
      </c>
      <c r="U70" s="575">
        <f t="shared" si="21"/>
        <v>63.777535448687935</v>
      </c>
      <c r="V70" s="575">
        <f t="shared" si="21"/>
        <v>63.661558579535964</v>
      </c>
      <c r="W70" s="575">
        <f t="shared" si="21"/>
        <v>63.588514488177715</v>
      </c>
      <c r="X70" s="575">
        <f t="shared" si="21"/>
        <v>63.541599463840171</v>
      </c>
      <c r="Y70" s="575">
        <f t="shared" si="21"/>
        <v>63.501419221861575</v>
      </c>
      <c r="Z70" s="575">
        <f t="shared" si="21"/>
        <v>63.487018471242372</v>
      </c>
      <c r="AA70" s="575">
        <f t="shared" si="22"/>
        <v>63.483089959778773</v>
      </c>
      <c r="AB70" s="575">
        <f t="shared" si="22"/>
        <v>63.570652842481927</v>
      </c>
      <c r="AC70" s="575">
        <f t="shared" si="22"/>
        <v>63.658215725185073</v>
      </c>
      <c r="AD70" s="575">
        <f t="shared" si="22"/>
        <v>63.745778607888212</v>
      </c>
      <c r="AE70" s="575">
        <f t="shared" si="22"/>
        <v>63.833341490591351</v>
      </c>
      <c r="AF70" s="575">
        <f t="shared" si="22"/>
        <v>63.920904373294512</v>
      </c>
      <c r="AG70" s="575">
        <f t="shared" si="22"/>
        <v>64.008467255997658</v>
      </c>
      <c r="AH70" s="575">
        <f t="shared" si="22"/>
        <v>64.096030138700783</v>
      </c>
      <c r="AI70" s="575">
        <f t="shared" si="22"/>
        <v>64.183593021403937</v>
      </c>
      <c r="AJ70" s="575">
        <f t="shared" si="22"/>
        <v>64.271155904107061</v>
      </c>
      <c r="AK70" s="575">
        <f t="shared" si="23"/>
        <v>64.358718786810215</v>
      </c>
      <c r="AL70" s="575">
        <f t="shared" si="23"/>
        <v>64.446281669513368</v>
      </c>
      <c r="AM70" s="575">
        <f t="shared" si="23"/>
        <v>64.533844552216507</v>
      </c>
      <c r="AN70" s="575">
        <f t="shared" si="23"/>
        <v>64.621407434919632</v>
      </c>
      <c r="AO70" s="575">
        <f t="shared" si="23"/>
        <v>64.708970317622786</v>
      </c>
      <c r="AP70" s="575">
        <f t="shared" si="23"/>
        <v>64.796533200325939</v>
      </c>
      <c r="AQ70" s="575">
        <f t="shared" si="23"/>
        <v>64.884096083029092</v>
      </c>
      <c r="AR70" s="575">
        <f t="shared" si="23"/>
        <v>64.971658965732217</v>
      </c>
      <c r="AS70" s="575">
        <f t="shared" si="23"/>
        <v>65.059221848435371</v>
      </c>
      <c r="AT70" s="575">
        <f t="shared" si="23"/>
        <v>65.146784731138496</v>
      </c>
      <c r="AU70" s="575">
        <f t="shared" si="23"/>
        <v>65.234347613841663</v>
      </c>
      <c r="AV70" s="620">
        <v>2.6706284400000002</v>
      </c>
      <c r="AW70" s="620">
        <v>3.1350855600000003</v>
      </c>
      <c r="AX70" s="620">
        <v>2.01944232</v>
      </c>
      <c r="AY70" s="620">
        <v>2.3706496800000001</v>
      </c>
      <c r="AZ70" s="620">
        <v>2.9353998400000001</v>
      </c>
      <c r="BA70" s="620">
        <v>3.4459041600000004</v>
      </c>
      <c r="BB70" s="620">
        <v>3.2610687999999999</v>
      </c>
      <c r="BC70" s="620">
        <v>3.8282112000000001</v>
      </c>
      <c r="BD70" s="616">
        <v>4</v>
      </c>
      <c r="BE70" s="616"/>
      <c r="BF70" s="616"/>
      <c r="BG70" s="616"/>
      <c r="BH70" s="616"/>
      <c r="BI70" s="616"/>
      <c r="BJ70" s="616"/>
    </row>
    <row r="71" spans="2:107" s="9" customFormat="1" ht="15">
      <c r="B71" s="10" t="str">
        <f>Processes!D53</f>
        <v>EXPLVN</v>
      </c>
      <c r="C71" s="10" t="str">
        <f>Processes!E53</f>
        <v>Export technology - Naphtha (Petroleoum)</v>
      </c>
      <c r="D71" s="263" t="str">
        <f t="shared" si="26"/>
        <v>LVN</v>
      </c>
      <c r="E71" s="263"/>
      <c r="F71" s="108" t="str">
        <f t="shared" si="24"/>
        <v>MKr14</v>
      </c>
      <c r="G71" s="575">
        <f t="shared" si="20"/>
        <v>72.674999999999997</v>
      </c>
      <c r="H71" s="575">
        <f t="shared" si="20"/>
        <v>106.78</v>
      </c>
      <c r="I71" s="575">
        <f t="shared" si="20"/>
        <v>110.48499999999999</v>
      </c>
      <c r="J71" s="575">
        <f t="shared" si="20"/>
        <v>112.66999999999999</v>
      </c>
      <c r="K71" s="575">
        <f t="shared" si="20"/>
        <v>104.59499999999998</v>
      </c>
      <c r="L71" s="575">
        <f t="shared" si="20"/>
        <v>69.825000000000003</v>
      </c>
      <c r="M71" s="575">
        <f t="shared" si="20"/>
        <v>67.069999999999993</v>
      </c>
      <c r="N71" s="575">
        <f t="shared" si="20"/>
        <v>70.965000000000003</v>
      </c>
      <c r="O71" s="575">
        <f t="shared" si="20"/>
        <v>94.52602200498734</v>
      </c>
      <c r="P71" s="575">
        <f t="shared" si="20"/>
        <v>88.34711543469875</v>
      </c>
      <c r="Q71" s="575">
        <f t="shared" si="21"/>
        <v>86.941173832219462</v>
      </c>
      <c r="R71" s="575">
        <f t="shared" si="21"/>
        <v>66.056292691424247</v>
      </c>
      <c r="S71" s="575">
        <f t="shared" si="21"/>
        <v>69.294366618593074</v>
      </c>
      <c r="T71" s="575">
        <f t="shared" si="21"/>
        <v>71.50129631899064</v>
      </c>
      <c r="U71" s="575">
        <f t="shared" si="21"/>
        <v>73.114595006707532</v>
      </c>
      <c r="V71" s="575">
        <f t="shared" si="21"/>
        <v>74.289248941909307</v>
      </c>
      <c r="W71" s="575">
        <f t="shared" si="21"/>
        <v>75.586439113303001</v>
      </c>
      <c r="X71" s="575">
        <f t="shared" si="21"/>
        <v>76.857670941805381</v>
      </c>
      <c r="Y71" s="575">
        <f t="shared" si="21"/>
        <v>78.027236173993543</v>
      </c>
      <c r="Z71" s="575">
        <f t="shared" si="21"/>
        <v>79.255350466579955</v>
      </c>
      <c r="AA71" s="575">
        <f t="shared" si="22"/>
        <v>80.417380872470531</v>
      </c>
      <c r="AB71" s="575">
        <f t="shared" si="22"/>
        <v>80.126544298377823</v>
      </c>
      <c r="AC71" s="575">
        <f t="shared" si="22"/>
        <v>79.835012149203408</v>
      </c>
      <c r="AD71" s="575">
        <f t="shared" si="22"/>
        <v>79.544683686862726</v>
      </c>
      <c r="AE71" s="575">
        <f t="shared" si="22"/>
        <v>79.253626007099939</v>
      </c>
      <c r="AF71" s="575">
        <f t="shared" si="22"/>
        <v>78.962660188978745</v>
      </c>
      <c r="AG71" s="575">
        <f t="shared" si="22"/>
        <v>78.670814786114747</v>
      </c>
      <c r="AH71" s="575">
        <f t="shared" si="22"/>
        <v>78.379997833412347</v>
      </c>
      <c r="AI71" s="575">
        <f t="shared" si="22"/>
        <v>78.088486928309948</v>
      </c>
      <c r="AJ71" s="575">
        <f t="shared" si="22"/>
        <v>77.797858418959336</v>
      </c>
      <c r="AK71" s="575">
        <f t="shared" si="23"/>
        <v>77.506943126641474</v>
      </c>
      <c r="AL71" s="575">
        <f t="shared" si="23"/>
        <v>77.216028313431977</v>
      </c>
      <c r="AM71" s="575">
        <f t="shared" si="23"/>
        <v>76.928115803438857</v>
      </c>
      <c r="AN71" s="575">
        <f t="shared" si="23"/>
        <v>76.640208748777354</v>
      </c>
      <c r="AO71" s="575">
        <f t="shared" si="23"/>
        <v>76.352307156422498</v>
      </c>
      <c r="AP71" s="575">
        <f t="shared" si="23"/>
        <v>76.064411033358184</v>
      </c>
      <c r="AQ71" s="575">
        <f t="shared" si="23"/>
        <v>75.776520386577246</v>
      </c>
      <c r="AR71" s="575">
        <f t="shared" si="23"/>
        <v>75.488635223081488</v>
      </c>
      <c r="AS71" s="575">
        <f t="shared" si="23"/>
        <v>75.200755549881634</v>
      </c>
      <c r="AT71" s="575">
        <f t="shared" si="23"/>
        <v>74.912881373997365</v>
      </c>
      <c r="AU71" s="575">
        <f t="shared" si="23"/>
        <v>74.625012702457397</v>
      </c>
      <c r="AV71" s="620">
        <v>3.98635954</v>
      </c>
      <c r="AW71" s="620">
        <v>4.6796394599999998</v>
      </c>
      <c r="AX71" s="620">
        <v>4.2145572599999994</v>
      </c>
      <c r="AY71" s="620">
        <v>4.9475237399999994</v>
      </c>
      <c r="AZ71" s="620">
        <v>9.5519368</v>
      </c>
      <c r="BA71" s="620">
        <v>11.213143199999999</v>
      </c>
      <c r="BB71" s="620">
        <v>9.5519368</v>
      </c>
      <c r="BC71" s="620">
        <v>11.213143199999999</v>
      </c>
      <c r="BD71" s="616">
        <v>4</v>
      </c>
      <c r="BE71" s="616"/>
      <c r="BF71" s="616"/>
      <c r="BG71" s="616"/>
      <c r="BH71" s="616"/>
      <c r="BI71" s="616"/>
      <c r="BJ71" s="616"/>
    </row>
    <row r="72" spans="2:107" s="9" customFormat="1" ht="15">
      <c r="B72" s="10" t="str">
        <f>Processes!D54</f>
        <v>EXPGSL</v>
      </c>
      <c r="C72" s="10" t="str">
        <f>Processes!E54</f>
        <v>Export technology - Gasoline</v>
      </c>
      <c r="D72" s="263" t="str">
        <f t="shared" si="26"/>
        <v>GSL</v>
      </c>
      <c r="E72" s="263"/>
      <c r="F72" s="108" t="str">
        <f t="shared" si="24"/>
        <v>MKr19</v>
      </c>
      <c r="G72" s="575">
        <f t="shared" si="20"/>
        <v>88.16</v>
      </c>
      <c r="H72" s="575">
        <f t="shared" si="20"/>
        <v>116.755</v>
      </c>
      <c r="I72" s="575">
        <f t="shared" si="20"/>
        <v>129.86499999999998</v>
      </c>
      <c r="J72" s="575">
        <f t="shared" si="20"/>
        <v>115.89999999999999</v>
      </c>
      <c r="K72" s="575">
        <f t="shared" si="20"/>
        <v>109.05999999999999</v>
      </c>
      <c r="L72" s="575">
        <f t="shared" si="20"/>
        <v>74.290000000000006</v>
      </c>
      <c r="M72" s="575">
        <f t="shared" si="20"/>
        <v>71.534999999999997</v>
      </c>
      <c r="N72" s="575">
        <f t="shared" si="20"/>
        <v>75.430000000000007</v>
      </c>
      <c r="O72" s="575">
        <f t="shared" si="20"/>
        <v>97.281022004987349</v>
      </c>
      <c r="P72" s="575">
        <f t="shared" si="20"/>
        <v>92.859615434698739</v>
      </c>
      <c r="Q72" s="575">
        <f t="shared" si="21"/>
        <v>91.453673832219465</v>
      </c>
      <c r="R72" s="575">
        <f t="shared" si="21"/>
        <v>70.56879269142425</v>
      </c>
      <c r="S72" s="575">
        <f t="shared" si="21"/>
        <v>73.806866618593077</v>
      </c>
      <c r="T72" s="575">
        <f t="shared" si="21"/>
        <v>76.013796318990643</v>
      </c>
      <c r="U72" s="575">
        <f t="shared" si="21"/>
        <v>77.627095006707535</v>
      </c>
      <c r="V72" s="575">
        <f t="shared" si="21"/>
        <v>78.80174894190931</v>
      </c>
      <c r="W72" s="575">
        <f t="shared" si="21"/>
        <v>80.09893911330299</v>
      </c>
      <c r="X72" s="575">
        <f t="shared" si="21"/>
        <v>81.370170941805384</v>
      </c>
      <c r="Y72" s="575">
        <f t="shared" si="21"/>
        <v>82.539736173993532</v>
      </c>
      <c r="Z72" s="575">
        <f t="shared" si="21"/>
        <v>83.767850466579958</v>
      </c>
      <c r="AA72" s="575">
        <f t="shared" si="22"/>
        <v>84.929880872470534</v>
      </c>
      <c r="AB72" s="575">
        <f t="shared" si="22"/>
        <v>84.639044298377826</v>
      </c>
      <c r="AC72" s="575">
        <f t="shared" si="22"/>
        <v>84.347512149203396</v>
      </c>
      <c r="AD72" s="575">
        <f t="shared" si="22"/>
        <v>84.057183686862714</v>
      </c>
      <c r="AE72" s="575">
        <f t="shared" si="22"/>
        <v>83.766126007099942</v>
      </c>
      <c r="AF72" s="575">
        <f t="shared" si="22"/>
        <v>83.475160188978734</v>
      </c>
      <c r="AG72" s="575">
        <f t="shared" si="22"/>
        <v>83.183314786114749</v>
      </c>
      <c r="AH72" s="575">
        <f t="shared" si="22"/>
        <v>82.892497833412349</v>
      </c>
      <c r="AI72" s="575">
        <f t="shared" si="22"/>
        <v>82.600986928309936</v>
      </c>
      <c r="AJ72" s="575">
        <f t="shared" si="22"/>
        <v>82.310358418959339</v>
      </c>
      <c r="AK72" s="575">
        <f t="shared" si="23"/>
        <v>82.019443126641477</v>
      </c>
      <c r="AL72" s="575">
        <f t="shared" si="23"/>
        <v>81.728528313431966</v>
      </c>
      <c r="AM72" s="575">
        <f t="shared" si="23"/>
        <v>81.44061580343886</v>
      </c>
      <c r="AN72" s="575">
        <f t="shared" si="23"/>
        <v>81.152708748777343</v>
      </c>
      <c r="AO72" s="575">
        <f t="shared" si="23"/>
        <v>80.864807156422501</v>
      </c>
      <c r="AP72" s="575">
        <f t="shared" si="23"/>
        <v>80.576911033358186</v>
      </c>
      <c r="AQ72" s="575">
        <f t="shared" si="23"/>
        <v>80.289020386577249</v>
      </c>
      <c r="AR72" s="575">
        <f t="shared" si="23"/>
        <v>80.001135223081477</v>
      </c>
      <c r="AS72" s="575">
        <f t="shared" si="23"/>
        <v>79.713255549881637</v>
      </c>
      <c r="AT72" s="575">
        <f t="shared" si="23"/>
        <v>79.425381373997368</v>
      </c>
      <c r="AU72" s="575">
        <f t="shared" si="23"/>
        <v>79.137512702457386</v>
      </c>
      <c r="AV72" s="620">
        <v>15.690051220000001</v>
      </c>
      <c r="AW72" s="620">
        <v>18.418755780000001</v>
      </c>
      <c r="AX72" s="620">
        <v>15.24725108</v>
      </c>
      <c r="AY72" s="620">
        <v>17.89894692</v>
      </c>
      <c r="AZ72" s="620">
        <v>19.508200259999999</v>
      </c>
      <c r="BA72" s="620">
        <v>22.90093074</v>
      </c>
      <c r="BB72" s="620">
        <v>22.457645280000001</v>
      </c>
      <c r="BC72" s="620">
        <v>26.363322720000003</v>
      </c>
      <c r="BD72" s="616">
        <v>4</v>
      </c>
      <c r="BE72" s="616"/>
      <c r="BF72" s="616"/>
      <c r="BG72" s="616"/>
      <c r="BH72" s="616"/>
      <c r="BI72" s="616"/>
      <c r="BJ72" s="616"/>
    </row>
    <row r="73" spans="2:107" ht="15">
      <c r="B73" s="10" t="str">
        <f>Processes!D55</f>
        <v>EXPKER</v>
      </c>
      <c r="C73" s="10" t="str">
        <f>Processes!E55</f>
        <v>Export technology - Kerosene</v>
      </c>
      <c r="D73" s="263" t="str">
        <f t="shared" si="26"/>
        <v>KER</v>
      </c>
      <c r="E73" s="263"/>
      <c r="F73" s="108" t="str">
        <f t="shared" si="24"/>
        <v>MKr19</v>
      </c>
      <c r="G73" s="575">
        <f t="shared" si="20"/>
        <v>72.674999999999997</v>
      </c>
      <c r="H73" s="575">
        <f t="shared" si="20"/>
        <v>106.78</v>
      </c>
      <c r="I73" s="575">
        <f t="shared" si="20"/>
        <v>110.48499999999999</v>
      </c>
      <c r="J73" s="575">
        <f t="shared" si="20"/>
        <v>112.66999999999999</v>
      </c>
      <c r="K73" s="575">
        <f t="shared" si="20"/>
        <v>104.59499999999998</v>
      </c>
      <c r="L73" s="575">
        <f t="shared" si="20"/>
        <v>69.825000000000003</v>
      </c>
      <c r="M73" s="575">
        <f t="shared" si="20"/>
        <v>67.069999999999993</v>
      </c>
      <c r="N73" s="575">
        <f t="shared" si="20"/>
        <v>70.965000000000003</v>
      </c>
      <c r="O73" s="575">
        <f t="shared" si="20"/>
        <v>94.52602200498734</v>
      </c>
      <c r="P73" s="575">
        <f t="shared" si="20"/>
        <v>88.34711543469875</v>
      </c>
      <c r="Q73" s="575">
        <f t="shared" si="21"/>
        <v>86.941173832219462</v>
      </c>
      <c r="R73" s="575">
        <f t="shared" si="21"/>
        <v>66.056292691424247</v>
      </c>
      <c r="S73" s="575">
        <f t="shared" si="21"/>
        <v>69.294366618593074</v>
      </c>
      <c r="T73" s="575">
        <f t="shared" si="21"/>
        <v>71.50129631899064</v>
      </c>
      <c r="U73" s="575">
        <f t="shared" si="21"/>
        <v>73.114595006707532</v>
      </c>
      <c r="V73" s="575">
        <f t="shared" si="21"/>
        <v>74.289248941909307</v>
      </c>
      <c r="W73" s="575">
        <f t="shared" si="21"/>
        <v>75.586439113303001</v>
      </c>
      <c r="X73" s="575">
        <f t="shared" si="21"/>
        <v>76.857670941805381</v>
      </c>
      <c r="Y73" s="575">
        <f t="shared" si="21"/>
        <v>78.027236173993543</v>
      </c>
      <c r="Z73" s="575">
        <f t="shared" si="21"/>
        <v>79.255350466579955</v>
      </c>
      <c r="AA73" s="575">
        <f t="shared" si="22"/>
        <v>80.417380872470531</v>
      </c>
      <c r="AB73" s="575">
        <f t="shared" si="22"/>
        <v>80.126544298377823</v>
      </c>
      <c r="AC73" s="575">
        <f t="shared" si="22"/>
        <v>79.835012149203408</v>
      </c>
      <c r="AD73" s="575">
        <f t="shared" si="22"/>
        <v>79.544683686862726</v>
      </c>
      <c r="AE73" s="575">
        <f t="shared" si="22"/>
        <v>79.253626007099939</v>
      </c>
      <c r="AF73" s="575">
        <f t="shared" si="22"/>
        <v>78.962660188978745</v>
      </c>
      <c r="AG73" s="575">
        <f t="shared" si="22"/>
        <v>78.670814786114747</v>
      </c>
      <c r="AH73" s="575">
        <f t="shared" si="22"/>
        <v>78.379997833412347</v>
      </c>
      <c r="AI73" s="575">
        <f t="shared" si="22"/>
        <v>78.088486928309948</v>
      </c>
      <c r="AJ73" s="575">
        <f t="shared" si="22"/>
        <v>77.797858418959336</v>
      </c>
      <c r="AK73" s="575">
        <f t="shared" si="23"/>
        <v>77.506943126641474</v>
      </c>
      <c r="AL73" s="575">
        <f t="shared" si="23"/>
        <v>77.216028313431977</v>
      </c>
      <c r="AM73" s="575">
        <f t="shared" si="23"/>
        <v>76.928115803438857</v>
      </c>
      <c r="AN73" s="575">
        <f t="shared" si="23"/>
        <v>76.640208748777354</v>
      </c>
      <c r="AO73" s="575">
        <f t="shared" si="23"/>
        <v>76.352307156422498</v>
      </c>
      <c r="AP73" s="575">
        <f t="shared" si="23"/>
        <v>76.064411033358184</v>
      </c>
      <c r="AQ73" s="575">
        <f t="shared" si="23"/>
        <v>75.776520386577246</v>
      </c>
      <c r="AR73" s="575">
        <f t="shared" si="23"/>
        <v>75.488635223081488</v>
      </c>
      <c r="AS73" s="575">
        <f t="shared" si="23"/>
        <v>75.200755549881634</v>
      </c>
      <c r="AT73" s="575">
        <f t="shared" si="23"/>
        <v>74.912881373997365</v>
      </c>
      <c r="AU73" s="575">
        <f t="shared" si="23"/>
        <v>74.625012702457397</v>
      </c>
      <c r="AV73" s="620">
        <v>9.4550515999999991</v>
      </c>
      <c r="AW73" s="620">
        <v>11.0994084</v>
      </c>
      <c r="AX73" s="620">
        <v>7.8445718200000005</v>
      </c>
      <c r="AY73" s="620">
        <v>9.2088451800000009</v>
      </c>
      <c r="AZ73" s="620">
        <v>5.8138125799999996</v>
      </c>
      <c r="BA73" s="620">
        <v>6.8249104200000001</v>
      </c>
      <c r="BB73" s="620">
        <v>7.8445718200000005</v>
      </c>
      <c r="BC73" s="620">
        <v>9.2088451800000009</v>
      </c>
      <c r="BD73" s="616">
        <v>4</v>
      </c>
      <c r="BE73" s="616"/>
      <c r="BF73" s="616"/>
      <c r="BG73" s="616"/>
      <c r="BH73" s="616"/>
      <c r="BI73" s="616"/>
      <c r="BJ73" s="616"/>
    </row>
    <row r="74" spans="2:107" ht="15">
      <c r="B74" s="10" t="str">
        <f>Processes!D56</f>
        <v>EXPDSL</v>
      </c>
      <c r="C74" s="10" t="str">
        <f>Processes!E56</f>
        <v>Export technology - Diesel</v>
      </c>
      <c r="D74" s="263" t="str">
        <f t="shared" si="26"/>
        <v>DSL</v>
      </c>
      <c r="E74" s="263"/>
      <c r="F74" s="108" t="str">
        <f t="shared" si="24"/>
        <v>MKr19</v>
      </c>
      <c r="G74" s="575">
        <f t="shared" si="20"/>
        <v>100.13</v>
      </c>
      <c r="H74" s="575">
        <f t="shared" si="20"/>
        <v>111.53</v>
      </c>
      <c r="I74" s="575">
        <f t="shared" si="20"/>
        <v>127.48999999999998</v>
      </c>
      <c r="J74" s="575">
        <f t="shared" si="20"/>
        <v>117.03999999999999</v>
      </c>
      <c r="K74" s="575">
        <f t="shared" si="20"/>
        <v>107.82499999999999</v>
      </c>
      <c r="L74" s="575">
        <f t="shared" si="20"/>
        <v>73.149999999999991</v>
      </c>
      <c r="M74" s="575">
        <f t="shared" si="20"/>
        <v>70.3</v>
      </c>
      <c r="N74" s="575">
        <f t="shared" si="20"/>
        <v>74.290000000000006</v>
      </c>
      <c r="O74" s="575">
        <f t="shared" si="20"/>
        <v>96.426022004987345</v>
      </c>
      <c r="P74" s="575">
        <f t="shared" si="20"/>
        <v>90.807615434698747</v>
      </c>
      <c r="Q74" s="575">
        <f t="shared" si="21"/>
        <v>89.401673832219473</v>
      </c>
      <c r="R74" s="575">
        <f t="shared" si="21"/>
        <v>68.516792691424257</v>
      </c>
      <c r="S74" s="575">
        <f t="shared" si="21"/>
        <v>71.754866618593084</v>
      </c>
      <c r="T74" s="575">
        <f t="shared" si="21"/>
        <v>73.96179631899065</v>
      </c>
      <c r="U74" s="575">
        <f t="shared" si="21"/>
        <v>75.575095006707542</v>
      </c>
      <c r="V74" s="575">
        <f t="shared" si="21"/>
        <v>76.749748941909317</v>
      </c>
      <c r="W74" s="575">
        <f t="shared" si="21"/>
        <v>78.046939113302997</v>
      </c>
      <c r="X74" s="575">
        <f t="shared" si="21"/>
        <v>79.318170941805391</v>
      </c>
      <c r="Y74" s="575">
        <f t="shared" si="21"/>
        <v>80.48773617399354</v>
      </c>
      <c r="Z74" s="575">
        <f t="shared" si="21"/>
        <v>81.715850466579965</v>
      </c>
      <c r="AA74" s="575">
        <f t="shared" si="22"/>
        <v>82.877880872470527</v>
      </c>
      <c r="AB74" s="575">
        <f t="shared" si="22"/>
        <v>82.587044298377819</v>
      </c>
      <c r="AC74" s="575">
        <f t="shared" si="22"/>
        <v>82.295512149203404</v>
      </c>
      <c r="AD74" s="575">
        <f t="shared" si="22"/>
        <v>82.005183686862722</v>
      </c>
      <c r="AE74" s="575">
        <f t="shared" si="22"/>
        <v>81.714126007099949</v>
      </c>
      <c r="AF74" s="575">
        <f t="shared" si="22"/>
        <v>81.423160188978741</v>
      </c>
      <c r="AG74" s="575">
        <f t="shared" si="22"/>
        <v>81.131314786114757</v>
      </c>
      <c r="AH74" s="575">
        <f t="shared" si="22"/>
        <v>80.840497833412343</v>
      </c>
      <c r="AI74" s="575">
        <f t="shared" si="22"/>
        <v>80.548986928309944</v>
      </c>
      <c r="AJ74" s="575">
        <f t="shared" si="22"/>
        <v>80.258358418959332</v>
      </c>
      <c r="AK74" s="575">
        <f t="shared" si="23"/>
        <v>79.967443126641484</v>
      </c>
      <c r="AL74" s="575">
        <f t="shared" si="23"/>
        <v>79.676528313431973</v>
      </c>
      <c r="AM74" s="575">
        <f t="shared" si="23"/>
        <v>79.388615803438867</v>
      </c>
      <c r="AN74" s="575">
        <f t="shared" si="23"/>
        <v>79.10070874877735</v>
      </c>
      <c r="AO74" s="575">
        <f t="shared" si="23"/>
        <v>78.812807156422508</v>
      </c>
      <c r="AP74" s="575">
        <f t="shared" si="23"/>
        <v>78.524911033358194</v>
      </c>
      <c r="AQ74" s="575">
        <f t="shared" si="23"/>
        <v>78.237020386577257</v>
      </c>
      <c r="AR74" s="575">
        <f t="shared" si="23"/>
        <v>77.949135223081484</v>
      </c>
      <c r="AS74" s="575">
        <f t="shared" si="23"/>
        <v>77.661255549881631</v>
      </c>
      <c r="AT74" s="575">
        <f t="shared" si="23"/>
        <v>77.373381373997375</v>
      </c>
      <c r="AU74" s="575">
        <f t="shared" si="23"/>
        <v>77.085512702457393</v>
      </c>
      <c r="AV74" s="620">
        <v>26.72664722</v>
      </c>
      <c r="AW74" s="620">
        <v>31.374759779999998</v>
      </c>
      <c r="AX74" s="620">
        <v>30.306363080000001</v>
      </c>
      <c r="AY74" s="620">
        <v>35.577034920000003</v>
      </c>
      <c r="AZ74" s="620">
        <v>33.01168886</v>
      </c>
      <c r="BA74" s="620">
        <v>38.752852140000002</v>
      </c>
      <c r="BB74" s="620">
        <v>40.952693240000002</v>
      </c>
      <c r="BC74" s="620">
        <v>48.074900759999998</v>
      </c>
      <c r="BD74" s="616">
        <v>4</v>
      </c>
      <c r="BE74" s="616"/>
      <c r="BF74" s="616"/>
      <c r="BG74" s="616"/>
      <c r="BH74" s="616"/>
      <c r="BI74" s="616"/>
      <c r="BJ74" s="616"/>
    </row>
    <row r="75" spans="2:107" ht="15">
      <c r="B75" s="10" t="str">
        <f>Processes!D57</f>
        <v>EXPHFO</v>
      </c>
      <c r="C75" s="10" t="str">
        <f>Processes!E57</f>
        <v>Export technology - Heavy Fuel Oil</v>
      </c>
      <c r="D75" s="263" t="str">
        <f t="shared" si="26"/>
        <v>HFO</v>
      </c>
      <c r="E75" s="263"/>
      <c r="F75" s="108" t="str">
        <f t="shared" si="24"/>
        <v>MKr19</v>
      </c>
      <c r="G75" s="575">
        <f t="shared" si="20"/>
        <v>64.790000000000006</v>
      </c>
      <c r="H75" s="575">
        <f t="shared" si="20"/>
        <v>96.899999999999991</v>
      </c>
      <c r="I75" s="575">
        <f t="shared" si="20"/>
        <v>91.39</v>
      </c>
      <c r="J75" s="575">
        <f t="shared" si="20"/>
        <v>87.114999999999995</v>
      </c>
      <c r="K75" s="575">
        <f t="shared" si="20"/>
        <v>79.8</v>
      </c>
      <c r="L75" s="575">
        <f t="shared" si="20"/>
        <v>45.125</v>
      </c>
      <c r="M75" s="575">
        <f t="shared" si="20"/>
        <v>42.274999999999999</v>
      </c>
      <c r="N75" s="575">
        <f t="shared" si="20"/>
        <v>46.265000000000001</v>
      </c>
      <c r="O75" s="575">
        <f t="shared" si="20"/>
        <v>64.34838436678902</v>
      </c>
      <c r="P75" s="575">
        <f t="shared" si="20"/>
        <v>58.729977796500442</v>
      </c>
      <c r="Q75" s="575">
        <f t="shared" si="21"/>
        <v>57.324036194021168</v>
      </c>
      <c r="R75" s="575">
        <f t="shared" si="21"/>
        <v>36.43915505322596</v>
      </c>
      <c r="S75" s="575">
        <f t="shared" si="21"/>
        <v>39.677228980394787</v>
      </c>
      <c r="T75" s="575">
        <f t="shared" si="21"/>
        <v>41.884158680792353</v>
      </c>
      <c r="U75" s="575">
        <f t="shared" si="21"/>
        <v>43.497457368509231</v>
      </c>
      <c r="V75" s="575">
        <f t="shared" si="21"/>
        <v>44.672111303711013</v>
      </c>
      <c r="W75" s="575">
        <f t="shared" si="21"/>
        <v>45.969301475104693</v>
      </c>
      <c r="X75" s="575">
        <f t="shared" si="21"/>
        <v>47.240533303607087</v>
      </c>
      <c r="Y75" s="575">
        <f t="shared" si="21"/>
        <v>48.410098535795242</v>
      </c>
      <c r="Z75" s="575">
        <f t="shared" si="21"/>
        <v>49.638212828381661</v>
      </c>
      <c r="AA75" s="575">
        <f t="shared" si="22"/>
        <v>50.80024323427223</v>
      </c>
      <c r="AB75" s="575">
        <f t="shared" si="22"/>
        <v>50.509406660179529</v>
      </c>
      <c r="AC75" s="575">
        <f t="shared" si="22"/>
        <v>50.2178745110051</v>
      </c>
      <c r="AD75" s="575">
        <f t="shared" si="22"/>
        <v>49.927546048664425</v>
      </c>
      <c r="AE75" s="575">
        <f t="shared" si="22"/>
        <v>49.636488368901652</v>
      </c>
      <c r="AF75" s="575">
        <f t="shared" si="22"/>
        <v>49.345522550780437</v>
      </c>
      <c r="AG75" s="575">
        <f t="shared" si="22"/>
        <v>49.05367714791646</v>
      </c>
      <c r="AH75" s="575">
        <f t="shared" si="22"/>
        <v>48.762860195214053</v>
      </c>
      <c r="AI75" s="575">
        <f t="shared" si="22"/>
        <v>48.47134929011164</v>
      </c>
      <c r="AJ75" s="575">
        <f t="shared" si="22"/>
        <v>48.180720780761035</v>
      </c>
      <c r="AK75" s="575">
        <f t="shared" si="23"/>
        <v>47.88980548844318</v>
      </c>
      <c r="AL75" s="575">
        <f t="shared" si="23"/>
        <v>47.598890675233669</v>
      </c>
      <c r="AM75" s="575">
        <f t="shared" si="23"/>
        <v>47.310978165240549</v>
      </c>
      <c r="AN75" s="575">
        <f t="shared" si="23"/>
        <v>47.023071110579053</v>
      </c>
      <c r="AO75" s="575">
        <f t="shared" si="23"/>
        <v>46.735169518224204</v>
      </c>
      <c r="AP75" s="575">
        <f t="shared" si="23"/>
        <v>46.447273395159883</v>
      </c>
      <c r="AQ75" s="575">
        <f t="shared" si="23"/>
        <v>46.15938274837896</v>
      </c>
      <c r="AR75" s="575">
        <f t="shared" si="23"/>
        <v>45.871497584883187</v>
      </c>
      <c r="AS75" s="575">
        <f t="shared" si="23"/>
        <v>45.583617911683326</v>
      </c>
      <c r="AT75" s="575">
        <f t="shared" si="23"/>
        <v>45.295743735799064</v>
      </c>
      <c r="AU75" s="575">
        <f t="shared" si="23"/>
        <v>45.007875064259089</v>
      </c>
      <c r="AV75" s="620">
        <v>50.57098826</v>
      </c>
      <c r="AW75" s="620">
        <v>59.365942740000001</v>
      </c>
      <c r="AX75" s="620">
        <v>44.739215440000002</v>
      </c>
      <c r="AY75" s="620">
        <v>52.519948560000003</v>
      </c>
      <c r="AZ75" s="620">
        <v>60.019435180000002</v>
      </c>
      <c r="BA75" s="620">
        <v>70.457597820000004</v>
      </c>
      <c r="BB75" s="620">
        <v>78.265236740000006</v>
      </c>
      <c r="BC75" s="620">
        <v>91.876582260000006</v>
      </c>
      <c r="BD75" s="616">
        <v>4</v>
      </c>
      <c r="BE75" s="616"/>
      <c r="BF75" s="616"/>
      <c r="BG75" s="616"/>
      <c r="BH75" s="616"/>
      <c r="BI75" s="616"/>
      <c r="BJ75" s="616"/>
    </row>
    <row r="76" spans="2:107" ht="15">
      <c r="B76" s="10" t="str">
        <f>Processes!D58</f>
        <v>EXPKRB1</v>
      </c>
      <c r="C76" s="10" t="str">
        <f>Processes!E58</f>
        <v>Export technology - Bio Kerosene G1</v>
      </c>
      <c r="D76" s="263" t="str">
        <f>RIGHT(B76,4)</f>
        <v>KRB1</v>
      </c>
      <c r="E76" s="263"/>
      <c r="F76" s="108" t="str">
        <f t="shared" si="24"/>
        <v>MKr19</v>
      </c>
      <c r="G76" s="575">
        <f>G73</f>
        <v>72.674999999999997</v>
      </c>
      <c r="H76" s="575">
        <f t="shared" ref="H76:AU76" si="27">H73</f>
        <v>106.78</v>
      </c>
      <c r="I76" s="575">
        <f t="shared" si="27"/>
        <v>110.48499999999999</v>
      </c>
      <c r="J76" s="575">
        <f t="shared" si="27"/>
        <v>112.66999999999999</v>
      </c>
      <c r="K76" s="575">
        <f t="shared" si="27"/>
        <v>104.59499999999998</v>
      </c>
      <c r="L76" s="575">
        <f t="shared" si="27"/>
        <v>69.825000000000003</v>
      </c>
      <c r="M76" s="575">
        <f t="shared" si="27"/>
        <v>67.069999999999993</v>
      </c>
      <c r="N76" s="575">
        <f t="shared" si="27"/>
        <v>70.965000000000003</v>
      </c>
      <c r="O76" s="575">
        <f t="shared" si="27"/>
        <v>94.52602200498734</v>
      </c>
      <c r="P76" s="575">
        <f t="shared" si="27"/>
        <v>88.34711543469875</v>
      </c>
      <c r="Q76" s="575">
        <f t="shared" si="27"/>
        <v>86.941173832219462</v>
      </c>
      <c r="R76" s="575">
        <f t="shared" si="27"/>
        <v>66.056292691424247</v>
      </c>
      <c r="S76" s="575">
        <f t="shared" si="27"/>
        <v>69.294366618593074</v>
      </c>
      <c r="T76" s="575">
        <f t="shared" si="27"/>
        <v>71.50129631899064</v>
      </c>
      <c r="U76" s="575">
        <f t="shared" si="27"/>
        <v>73.114595006707532</v>
      </c>
      <c r="V76" s="575">
        <f t="shared" si="27"/>
        <v>74.289248941909307</v>
      </c>
      <c r="W76" s="575">
        <f t="shared" si="27"/>
        <v>75.586439113303001</v>
      </c>
      <c r="X76" s="575">
        <f t="shared" si="27"/>
        <v>76.857670941805381</v>
      </c>
      <c r="Y76" s="575">
        <f t="shared" si="27"/>
        <v>78.027236173993543</v>
      </c>
      <c r="Z76" s="575">
        <f t="shared" si="27"/>
        <v>79.255350466579955</v>
      </c>
      <c r="AA76" s="575">
        <f t="shared" si="27"/>
        <v>80.417380872470531</v>
      </c>
      <c r="AB76" s="575">
        <f t="shared" si="27"/>
        <v>80.126544298377823</v>
      </c>
      <c r="AC76" s="575">
        <f t="shared" si="27"/>
        <v>79.835012149203408</v>
      </c>
      <c r="AD76" s="575">
        <f t="shared" si="27"/>
        <v>79.544683686862726</v>
      </c>
      <c r="AE76" s="575">
        <f t="shared" si="27"/>
        <v>79.253626007099939</v>
      </c>
      <c r="AF76" s="575">
        <f t="shared" si="27"/>
        <v>78.962660188978745</v>
      </c>
      <c r="AG76" s="575">
        <f t="shared" si="27"/>
        <v>78.670814786114747</v>
      </c>
      <c r="AH76" s="575">
        <f t="shared" si="27"/>
        <v>78.379997833412347</v>
      </c>
      <c r="AI76" s="575">
        <f t="shared" si="27"/>
        <v>78.088486928309948</v>
      </c>
      <c r="AJ76" s="575">
        <f t="shared" si="27"/>
        <v>77.797858418959336</v>
      </c>
      <c r="AK76" s="575">
        <f t="shared" si="27"/>
        <v>77.506943126641474</v>
      </c>
      <c r="AL76" s="575">
        <f t="shared" si="27"/>
        <v>77.216028313431977</v>
      </c>
      <c r="AM76" s="575">
        <f t="shared" si="27"/>
        <v>76.928115803438857</v>
      </c>
      <c r="AN76" s="575">
        <f t="shared" si="27"/>
        <v>76.640208748777354</v>
      </c>
      <c r="AO76" s="575">
        <f t="shared" si="27"/>
        <v>76.352307156422498</v>
      </c>
      <c r="AP76" s="575">
        <f t="shared" si="27"/>
        <v>76.064411033358184</v>
      </c>
      <c r="AQ76" s="575">
        <f t="shared" si="27"/>
        <v>75.776520386577246</v>
      </c>
      <c r="AR76" s="575">
        <f t="shared" si="27"/>
        <v>75.488635223081488</v>
      </c>
      <c r="AS76" s="575">
        <f t="shared" si="27"/>
        <v>75.200755549881634</v>
      </c>
      <c r="AT76" s="575">
        <f t="shared" si="27"/>
        <v>74.912881373997365</v>
      </c>
      <c r="AU76" s="575">
        <f t="shared" si="27"/>
        <v>74.625012702457397</v>
      </c>
      <c r="AV76" s="248"/>
      <c r="AW76" s="248"/>
      <c r="AX76" s="248"/>
      <c r="AY76" s="248"/>
    </row>
    <row r="77" spans="2:107" ht="15">
      <c r="B77" s="10" t="str">
        <f>Processes!D59</f>
        <v>EXPKRB2</v>
      </c>
      <c r="C77" s="10" t="str">
        <f>Processes!E59</f>
        <v>Export technology - Bio Kerosene G2</v>
      </c>
      <c r="D77" s="263" t="str">
        <f t="shared" ref="D77:D86" si="28">RIGHT(B77,4)</f>
        <v>KRB2</v>
      </c>
      <c r="E77" s="263"/>
      <c r="F77" s="108" t="str">
        <f t="shared" si="24"/>
        <v>MKr19</v>
      </c>
      <c r="G77" s="575">
        <f>G76</f>
        <v>72.674999999999997</v>
      </c>
      <c r="H77" s="575">
        <f t="shared" ref="H77:AU78" si="29">H76</f>
        <v>106.78</v>
      </c>
      <c r="I77" s="575">
        <f t="shared" si="29"/>
        <v>110.48499999999999</v>
      </c>
      <c r="J77" s="575">
        <f t="shared" si="29"/>
        <v>112.66999999999999</v>
      </c>
      <c r="K77" s="575">
        <f t="shared" si="29"/>
        <v>104.59499999999998</v>
      </c>
      <c r="L77" s="575">
        <f t="shared" si="29"/>
        <v>69.825000000000003</v>
      </c>
      <c r="M77" s="575">
        <f t="shared" si="29"/>
        <v>67.069999999999993</v>
      </c>
      <c r="N77" s="575">
        <f t="shared" si="29"/>
        <v>70.965000000000003</v>
      </c>
      <c r="O77" s="575">
        <f t="shared" si="29"/>
        <v>94.52602200498734</v>
      </c>
      <c r="P77" s="575">
        <f t="shared" si="29"/>
        <v>88.34711543469875</v>
      </c>
      <c r="Q77" s="575">
        <f t="shared" si="29"/>
        <v>86.941173832219462</v>
      </c>
      <c r="R77" s="575">
        <f t="shared" si="29"/>
        <v>66.056292691424247</v>
      </c>
      <c r="S77" s="575">
        <f t="shared" si="29"/>
        <v>69.294366618593074</v>
      </c>
      <c r="T77" s="575">
        <f t="shared" si="29"/>
        <v>71.50129631899064</v>
      </c>
      <c r="U77" s="575">
        <f t="shared" si="29"/>
        <v>73.114595006707532</v>
      </c>
      <c r="V77" s="575">
        <f t="shared" si="29"/>
        <v>74.289248941909307</v>
      </c>
      <c r="W77" s="575">
        <f t="shared" si="29"/>
        <v>75.586439113303001</v>
      </c>
      <c r="X77" s="575">
        <f t="shared" si="29"/>
        <v>76.857670941805381</v>
      </c>
      <c r="Y77" s="575">
        <f t="shared" si="29"/>
        <v>78.027236173993543</v>
      </c>
      <c r="Z77" s="575">
        <f t="shared" si="29"/>
        <v>79.255350466579955</v>
      </c>
      <c r="AA77" s="575">
        <f t="shared" si="29"/>
        <v>80.417380872470531</v>
      </c>
      <c r="AB77" s="575">
        <f t="shared" si="29"/>
        <v>80.126544298377823</v>
      </c>
      <c r="AC77" s="575">
        <f t="shared" si="29"/>
        <v>79.835012149203408</v>
      </c>
      <c r="AD77" s="575">
        <f t="shared" si="29"/>
        <v>79.544683686862726</v>
      </c>
      <c r="AE77" s="575">
        <f t="shared" si="29"/>
        <v>79.253626007099939</v>
      </c>
      <c r="AF77" s="575">
        <f t="shared" si="29"/>
        <v>78.962660188978745</v>
      </c>
      <c r="AG77" s="575">
        <f t="shared" si="29"/>
        <v>78.670814786114747</v>
      </c>
      <c r="AH77" s="575">
        <f t="shared" si="29"/>
        <v>78.379997833412347</v>
      </c>
      <c r="AI77" s="575">
        <f t="shared" si="29"/>
        <v>78.088486928309948</v>
      </c>
      <c r="AJ77" s="575">
        <f t="shared" si="29"/>
        <v>77.797858418959336</v>
      </c>
      <c r="AK77" s="575">
        <f t="shared" si="29"/>
        <v>77.506943126641474</v>
      </c>
      <c r="AL77" s="575">
        <f t="shared" si="29"/>
        <v>77.216028313431977</v>
      </c>
      <c r="AM77" s="575">
        <f t="shared" si="29"/>
        <v>76.928115803438857</v>
      </c>
      <c r="AN77" s="575">
        <f t="shared" si="29"/>
        <v>76.640208748777354</v>
      </c>
      <c r="AO77" s="575">
        <f t="shared" si="29"/>
        <v>76.352307156422498</v>
      </c>
      <c r="AP77" s="575">
        <f t="shared" si="29"/>
        <v>76.064411033358184</v>
      </c>
      <c r="AQ77" s="575">
        <f t="shared" si="29"/>
        <v>75.776520386577246</v>
      </c>
      <c r="AR77" s="575">
        <f t="shared" si="29"/>
        <v>75.488635223081488</v>
      </c>
      <c r="AS77" s="575">
        <f t="shared" si="29"/>
        <v>75.200755549881634</v>
      </c>
      <c r="AT77" s="575">
        <f t="shared" si="29"/>
        <v>74.912881373997365</v>
      </c>
      <c r="AU77" s="575">
        <f t="shared" si="29"/>
        <v>74.625012702457397</v>
      </c>
      <c r="AV77" s="248"/>
      <c r="AW77" s="248"/>
      <c r="AX77" s="248"/>
      <c r="AY77" s="248"/>
    </row>
    <row r="78" spans="2:107" s="576" customFormat="1" ht="15">
      <c r="B78" s="10" t="str">
        <f>Processes!D60</f>
        <v>EXPKRE</v>
      </c>
      <c r="C78" s="10" t="str">
        <f>Processes!E60</f>
        <v>Export technology - Electro Kerosene</v>
      </c>
      <c r="D78" s="263" t="str">
        <f>RIGHT(B78,3)</f>
        <v>KRE</v>
      </c>
      <c r="E78" s="263"/>
      <c r="F78" s="108" t="str">
        <f t="shared" si="24"/>
        <v>MKr19</v>
      </c>
      <c r="G78" s="575">
        <f>G77</f>
        <v>72.674999999999997</v>
      </c>
      <c r="H78" s="575">
        <f t="shared" si="29"/>
        <v>106.78</v>
      </c>
      <c r="I78" s="575">
        <f t="shared" si="29"/>
        <v>110.48499999999999</v>
      </c>
      <c r="J78" s="575">
        <f t="shared" si="29"/>
        <v>112.66999999999999</v>
      </c>
      <c r="K78" s="575">
        <f t="shared" si="29"/>
        <v>104.59499999999998</v>
      </c>
      <c r="L78" s="575">
        <f t="shared" si="29"/>
        <v>69.825000000000003</v>
      </c>
      <c r="M78" s="575">
        <f t="shared" si="29"/>
        <v>67.069999999999993</v>
      </c>
      <c r="N78" s="575">
        <f t="shared" si="29"/>
        <v>70.965000000000003</v>
      </c>
      <c r="O78" s="575">
        <f t="shared" si="29"/>
        <v>94.52602200498734</v>
      </c>
      <c r="P78" s="575">
        <f t="shared" si="29"/>
        <v>88.34711543469875</v>
      </c>
      <c r="Q78" s="575">
        <f t="shared" si="29"/>
        <v>86.941173832219462</v>
      </c>
      <c r="R78" s="575">
        <f t="shared" si="29"/>
        <v>66.056292691424247</v>
      </c>
      <c r="S78" s="575">
        <f t="shared" si="29"/>
        <v>69.294366618593074</v>
      </c>
      <c r="T78" s="575">
        <f t="shared" si="29"/>
        <v>71.50129631899064</v>
      </c>
      <c r="U78" s="575">
        <f t="shared" si="29"/>
        <v>73.114595006707532</v>
      </c>
      <c r="V78" s="575">
        <f t="shared" si="29"/>
        <v>74.289248941909307</v>
      </c>
      <c r="W78" s="575">
        <f t="shared" si="29"/>
        <v>75.586439113303001</v>
      </c>
      <c r="X78" s="575">
        <f t="shared" si="29"/>
        <v>76.857670941805381</v>
      </c>
      <c r="Y78" s="575">
        <f t="shared" si="29"/>
        <v>78.027236173993543</v>
      </c>
      <c r="Z78" s="575">
        <f t="shared" si="29"/>
        <v>79.255350466579955</v>
      </c>
      <c r="AA78" s="575">
        <f t="shared" si="29"/>
        <v>80.417380872470531</v>
      </c>
      <c r="AB78" s="575">
        <f t="shared" si="29"/>
        <v>80.126544298377823</v>
      </c>
      <c r="AC78" s="575">
        <f t="shared" si="29"/>
        <v>79.835012149203408</v>
      </c>
      <c r="AD78" s="575">
        <f t="shared" si="29"/>
        <v>79.544683686862726</v>
      </c>
      <c r="AE78" s="575">
        <f t="shared" si="29"/>
        <v>79.253626007099939</v>
      </c>
      <c r="AF78" s="575">
        <f t="shared" si="29"/>
        <v>78.962660188978745</v>
      </c>
      <c r="AG78" s="575">
        <f t="shared" si="29"/>
        <v>78.670814786114747</v>
      </c>
      <c r="AH78" s="575">
        <f t="shared" si="29"/>
        <v>78.379997833412347</v>
      </c>
      <c r="AI78" s="575">
        <f t="shared" si="29"/>
        <v>78.088486928309948</v>
      </c>
      <c r="AJ78" s="575">
        <f t="shared" si="29"/>
        <v>77.797858418959336</v>
      </c>
      <c r="AK78" s="575">
        <f t="shared" si="29"/>
        <v>77.506943126641474</v>
      </c>
      <c r="AL78" s="575">
        <f t="shared" si="29"/>
        <v>77.216028313431977</v>
      </c>
      <c r="AM78" s="575">
        <f t="shared" si="29"/>
        <v>76.928115803438857</v>
      </c>
      <c r="AN78" s="575">
        <f t="shared" si="29"/>
        <v>76.640208748777354</v>
      </c>
      <c r="AO78" s="575">
        <f t="shared" si="29"/>
        <v>76.352307156422498</v>
      </c>
      <c r="AP78" s="575">
        <f t="shared" si="29"/>
        <v>76.064411033358184</v>
      </c>
      <c r="AQ78" s="575">
        <f t="shared" si="29"/>
        <v>75.776520386577246</v>
      </c>
      <c r="AR78" s="575">
        <f t="shared" si="29"/>
        <v>75.488635223081488</v>
      </c>
      <c r="AS78" s="575">
        <f t="shared" si="29"/>
        <v>75.200755549881634</v>
      </c>
      <c r="AT78" s="575">
        <f t="shared" si="29"/>
        <v>74.912881373997365</v>
      </c>
      <c r="AU78" s="575">
        <f t="shared" si="29"/>
        <v>74.625012702457397</v>
      </c>
      <c r="AV78" s="248"/>
      <c r="AW78" s="248"/>
      <c r="AX78" s="248"/>
      <c r="AY78" s="248"/>
    </row>
    <row r="79" spans="2:107" ht="15">
      <c r="B79" s="10" t="str">
        <f>Processes!D61</f>
        <v>EXPSNG1</v>
      </c>
      <c r="C79" s="10" t="str">
        <f>Processes!E61</f>
        <v>Export technology - Bio Synt. Nat. Gas G1</v>
      </c>
      <c r="D79" s="263" t="str">
        <f t="shared" si="28"/>
        <v>SNG1</v>
      </c>
      <c r="E79" s="263"/>
      <c r="F79" s="108" t="str">
        <f t="shared" si="24"/>
        <v>MKr19</v>
      </c>
      <c r="G79" s="575">
        <f>G67</f>
        <v>42.18</v>
      </c>
      <c r="H79" s="575">
        <f t="shared" ref="H79:AU79" si="30">H67</f>
        <v>43.795000000000002</v>
      </c>
      <c r="I79" s="575">
        <f t="shared" si="30"/>
        <v>52.344999999999999</v>
      </c>
      <c r="J79" s="575">
        <f t="shared" si="30"/>
        <v>51.49</v>
      </c>
      <c r="K79" s="575">
        <f t="shared" si="30"/>
        <v>43.414999999999999</v>
      </c>
      <c r="L79" s="575">
        <f t="shared" si="30"/>
        <v>41.8</v>
      </c>
      <c r="M79" s="575">
        <f t="shared" si="30"/>
        <v>34.959999999999994</v>
      </c>
      <c r="N79" s="575">
        <f t="shared" si="30"/>
        <v>35.055</v>
      </c>
      <c r="O79" s="575">
        <f t="shared" si="30"/>
        <v>50.751074212757736</v>
      </c>
      <c r="P79" s="575">
        <f t="shared" si="30"/>
        <v>32.54796067858944</v>
      </c>
      <c r="Q79" s="575">
        <f t="shared" si="30"/>
        <v>31.727957487158143</v>
      </c>
      <c r="R79" s="575">
        <f t="shared" si="30"/>
        <v>29.949025524166288</v>
      </c>
      <c r="S79" s="575">
        <f t="shared" si="30"/>
        <v>31.124421190464801</v>
      </c>
      <c r="T79" s="575">
        <f t="shared" si="30"/>
        <v>31.69930389723169</v>
      </c>
      <c r="U79" s="575">
        <f t="shared" si="30"/>
        <v>31.888767724343968</v>
      </c>
      <c r="V79" s="575">
        <f t="shared" si="30"/>
        <v>31.830779289767982</v>
      </c>
      <c r="W79" s="575">
        <f t="shared" si="30"/>
        <v>31.794257244088858</v>
      </c>
      <c r="X79" s="575">
        <f t="shared" si="30"/>
        <v>31.770799731920086</v>
      </c>
      <c r="Y79" s="575">
        <f t="shared" si="30"/>
        <v>31.750709610930787</v>
      </c>
      <c r="Z79" s="575">
        <f t="shared" si="30"/>
        <v>31.743509235621186</v>
      </c>
      <c r="AA79" s="575">
        <f t="shared" si="30"/>
        <v>31.741544979889387</v>
      </c>
      <c r="AB79" s="575">
        <f t="shared" si="30"/>
        <v>31.785326421240963</v>
      </c>
      <c r="AC79" s="575">
        <f t="shared" si="30"/>
        <v>31.829107862592537</v>
      </c>
      <c r="AD79" s="575">
        <f t="shared" si="30"/>
        <v>31.872889303944106</v>
      </c>
      <c r="AE79" s="575">
        <f t="shared" si="30"/>
        <v>31.916670745295676</v>
      </c>
      <c r="AF79" s="575">
        <f t="shared" si="30"/>
        <v>31.960452186647256</v>
      </c>
      <c r="AG79" s="575">
        <f t="shared" si="30"/>
        <v>32.004233627998829</v>
      </c>
      <c r="AH79" s="575">
        <f t="shared" si="30"/>
        <v>32.048015069350392</v>
      </c>
      <c r="AI79" s="575">
        <f t="shared" si="30"/>
        <v>32.091796510701968</v>
      </c>
      <c r="AJ79" s="575">
        <f t="shared" si="30"/>
        <v>32.135577952053531</v>
      </c>
      <c r="AK79" s="575">
        <f t="shared" si="30"/>
        <v>32.179359393405107</v>
      </c>
      <c r="AL79" s="575">
        <f t="shared" si="30"/>
        <v>32.223140834756684</v>
      </c>
      <c r="AM79" s="575">
        <f t="shared" si="30"/>
        <v>32.266922276108254</v>
      </c>
      <c r="AN79" s="575">
        <f t="shared" si="30"/>
        <v>32.310703717459816</v>
      </c>
      <c r="AO79" s="575">
        <f t="shared" si="30"/>
        <v>32.354485158811393</v>
      </c>
      <c r="AP79" s="575">
        <f t="shared" si="30"/>
        <v>32.39826660016297</v>
      </c>
      <c r="AQ79" s="575">
        <f t="shared" si="30"/>
        <v>32.442048041514546</v>
      </c>
      <c r="AR79" s="575">
        <f t="shared" si="30"/>
        <v>32.485829482866109</v>
      </c>
      <c r="AS79" s="575">
        <f t="shared" si="30"/>
        <v>32.529610924217685</v>
      </c>
      <c r="AT79" s="575">
        <f t="shared" si="30"/>
        <v>32.573392365569248</v>
      </c>
      <c r="AU79" s="575">
        <f t="shared" si="30"/>
        <v>32.617173806920832</v>
      </c>
      <c r="AV79" s="248"/>
      <c r="AW79" s="248"/>
      <c r="AX79" s="248"/>
      <c r="AY79" s="248"/>
    </row>
    <row r="80" spans="2:107" ht="15">
      <c r="B80" s="10" t="str">
        <f>Processes!D62</f>
        <v>EXPSNG2</v>
      </c>
      <c r="C80" s="10" t="str">
        <f>Processes!E62</f>
        <v>Export technology - Bio Synt. Nat. Gas G2</v>
      </c>
      <c r="D80" s="263" t="str">
        <f t="shared" si="28"/>
        <v>SNG2</v>
      </c>
      <c r="E80" s="263"/>
      <c r="F80" s="108" t="str">
        <f t="shared" si="24"/>
        <v>MKr19</v>
      </c>
      <c r="G80" s="575">
        <f>G79</f>
        <v>42.18</v>
      </c>
      <c r="H80" s="575">
        <f t="shared" ref="H80:AU81" si="31">H79</f>
        <v>43.795000000000002</v>
      </c>
      <c r="I80" s="575">
        <f t="shared" si="31"/>
        <v>52.344999999999999</v>
      </c>
      <c r="J80" s="575">
        <f t="shared" si="31"/>
        <v>51.49</v>
      </c>
      <c r="K80" s="575">
        <f t="shared" si="31"/>
        <v>43.414999999999999</v>
      </c>
      <c r="L80" s="575">
        <f t="shared" si="31"/>
        <v>41.8</v>
      </c>
      <c r="M80" s="575">
        <f t="shared" si="31"/>
        <v>34.959999999999994</v>
      </c>
      <c r="N80" s="575">
        <f t="shared" si="31"/>
        <v>35.055</v>
      </c>
      <c r="O80" s="575">
        <f t="shared" si="31"/>
        <v>50.751074212757736</v>
      </c>
      <c r="P80" s="575">
        <f t="shared" si="31"/>
        <v>32.54796067858944</v>
      </c>
      <c r="Q80" s="575">
        <f t="shared" si="31"/>
        <v>31.727957487158143</v>
      </c>
      <c r="R80" s="575">
        <f t="shared" si="31"/>
        <v>29.949025524166288</v>
      </c>
      <c r="S80" s="575">
        <f t="shared" si="31"/>
        <v>31.124421190464801</v>
      </c>
      <c r="T80" s="575">
        <f t="shared" si="31"/>
        <v>31.69930389723169</v>
      </c>
      <c r="U80" s="575">
        <f t="shared" si="31"/>
        <v>31.888767724343968</v>
      </c>
      <c r="V80" s="575">
        <f t="shared" si="31"/>
        <v>31.830779289767982</v>
      </c>
      <c r="W80" s="575">
        <f t="shared" si="31"/>
        <v>31.794257244088858</v>
      </c>
      <c r="X80" s="575">
        <f t="shared" si="31"/>
        <v>31.770799731920086</v>
      </c>
      <c r="Y80" s="575">
        <f t="shared" si="31"/>
        <v>31.750709610930787</v>
      </c>
      <c r="Z80" s="575">
        <f t="shared" si="31"/>
        <v>31.743509235621186</v>
      </c>
      <c r="AA80" s="575">
        <f t="shared" si="31"/>
        <v>31.741544979889387</v>
      </c>
      <c r="AB80" s="575">
        <f t="shared" si="31"/>
        <v>31.785326421240963</v>
      </c>
      <c r="AC80" s="575">
        <f t="shared" si="31"/>
        <v>31.829107862592537</v>
      </c>
      <c r="AD80" s="575">
        <f t="shared" si="31"/>
        <v>31.872889303944106</v>
      </c>
      <c r="AE80" s="575">
        <f t="shared" si="31"/>
        <v>31.916670745295676</v>
      </c>
      <c r="AF80" s="575">
        <f t="shared" si="31"/>
        <v>31.960452186647256</v>
      </c>
      <c r="AG80" s="575">
        <f t="shared" si="31"/>
        <v>32.004233627998829</v>
      </c>
      <c r="AH80" s="575">
        <f t="shared" si="31"/>
        <v>32.048015069350392</v>
      </c>
      <c r="AI80" s="575">
        <f t="shared" si="31"/>
        <v>32.091796510701968</v>
      </c>
      <c r="AJ80" s="575">
        <f t="shared" si="31"/>
        <v>32.135577952053531</v>
      </c>
      <c r="AK80" s="575">
        <f t="shared" si="31"/>
        <v>32.179359393405107</v>
      </c>
      <c r="AL80" s="575">
        <f t="shared" si="31"/>
        <v>32.223140834756684</v>
      </c>
      <c r="AM80" s="575">
        <f t="shared" si="31"/>
        <v>32.266922276108254</v>
      </c>
      <c r="AN80" s="575">
        <f t="shared" si="31"/>
        <v>32.310703717459816</v>
      </c>
      <c r="AO80" s="575">
        <f t="shared" si="31"/>
        <v>32.354485158811393</v>
      </c>
      <c r="AP80" s="575">
        <f t="shared" si="31"/>
        <v>32.39826660016297</v>
      </c>
      <c r="AQ80" s="575">
        <f t="shared" si="31"/>
        <v>32.442048041514546</v>
      </c>
      <c r="AR80" s="575">
        <f t="shared" si="31"/>
        <v>32.485829482866109</v>
      </c>
      <c r="AS80" s="575">
        <f t="shared" si="31"/>
        <v>32.529610924217685</v>
      </c>
      <c r="AT80" s="575">
        <f t="shared" si="31"/>
        <v>32.573392365569248</v>
      </c>
      <c r="AU80" s="575">
        <f t="shared" si="31"/>
        <v>32.617173806920832</v>
      </c>
      <c r="AV80" s="248"/>
      <c r="AW80" s="248"/>
      <c r="AX80" s="248"/>
      <c r="AY80" s="248"/>
    </row>
    <row r="81" spans="2:51" s="576" customFormat="1" ht="15">
      <c r="B81" s="10" t="str">
        <f>Processes!D63</f>
        <v>EXPSNE</v>
      </c>
      <c r="C81" s="10" t="str">
        <f>Processes!E63</f>
        <v>Export technology - Electro Synt. Nat. Gas</v>
      </c>
      <c r="D81" s="263" t="str">
        <f>RIGHT(B81,3)</f>
        <v>SNE</v>
      </c>
      <c r="E81" s="263"/>
      <c r="F81" s="108" t="str">
        <f t="shared" si="24"/>
        <v>MKr19</v>
      </c>
      <c r="G81" s="575">
        <f>G80</f>
        <v>42.18</v>
      </c>
      <c r="H81" s="575">
        <f t="shared" si="31"/>
        <v>43.795000000000002</v>
      </c>
      <c r="I81" s="575">
        <f t="shared" si="31"/>
        <v>52.344999999999999</v>
      </c>
      <c r="J81" s="575">
        <f t="shared" si="31"/>
        <v>51.49</v>
      </c>
      <c r="K81" s="575">
        <f t="shared" si="31"/>
        <v>43.414999999999999</v>
      </c>
      <c r="L81" s="575">
        <f t="shared" si="31"/>
        <v>41.8</v>
      </c>
      <c r="M81" s="575">
        <f t="shared" si="31"/>
        <v>34.959999999999994</v>
      </c>
      <c r="N81" s="575">
        <f t="shared" si="31"/>
        <v>35.055</v>
      </c>
      <c r="O81" s="575">
        <f t="shared" si="31"/>
        <v>50.751074212757736</v>
      </c>
      <c r="P81" s="575">
        <f t="shared" si="31"/>
        <v>32.54796067858944</v>
      </c>
      <c r="Q81" s="575">
        <f t="shared" si="31"/>
        <v>31.727957487158143</v>
      </c>
      <c r="R81" s="575">
        <f t="shared" si="31"/>
        <v>29.949025524166288</v>
      </c>
      <c r="S81" s="575">
        <f t="shared" si="31"/>
        <v>31.124421190464801</v>
      </c>
      <c r="T81" s="575">
        <f t="shared" si="31"/>
        <v>31.69930389723169</v>
      </c>
      <c r="U81" s="575">
        <f t="shared" si="31"/>
        <v>31.888767724343968</v>
      </c>
      <c r="V81" s="575">
        <f t="shared" si="31"/>
        <v>31.830779289767982</v>
      </c>
      <c r="W81" s="575">
        <f t="shared" si="31"/>
        <v>31.794257244088858</v>
      </c>
      <c r="X81" s="575">
        <f t="shared" si="31"/>
        <v>31.770799731920086</v>
      </c>
      <c r="Y81" s="575">
        <f t="shared" si="31"/>
        <v>31.750709610930787</v>
      </c>
      <c r="Z81" s="575">
        <f t="shared" si="31"/>
        <v>31.743509235621186</v>
      </c>
      <c r="AA81" s="575">
        <f t="shared" si="31"/>
        <v>31.741544979889387</v>
      </c>
      <c r="AB81" s="575">
        <f t="shared" si="31"/>
        <v>31.785326421240963</v>
      </c>
      <c r="AC81" s="575">
        <f t="shared" si="31"/>
        <v>31.829107862592537</v>
      </c>
      <c r="AD81" s="575">
        <f t="shared" si="31"/>
        <v>31.872889303944106</v>
      </c>
      <c r="AE81" s="575">
        <f t="shared" si="31"/>
        <v>31.916670745295676</v>
      </c>
      <c r="AF81" s="575">
        <f t="shared" si="31"/>
        <v>31.960452186647256</v>
      </c>
      <c r="AG81" s="575">
        <f t="shared" si="31"/>
        <v>32.004233627998829</v>
      </c>
      <c r="AH81" s="575">
        <f t="shared" si="31"/>
        <v>32.048015069350392</v>
      </c>
      <c r="AI81" s="575">
        <f t="shared" si="31"/>
        <v>32.091796510701968</v>
      </c>
      <c r="AJ81" s="575">
        <f t="shared" si="31"/>
        <v>32.135577952053531</v>
      </c>
      <c r="AK81" s="575">
        <f t="shared" si="31"/>
        <v>32.179359393405107</v>
      </c>
      <c r="AL81" s="575">
        <f t="shared" si="31"/>
        <v>32.223140834756684</v>
      </c>
      <c r="AM81" s="575">
        <f t="shared" si="31"/>
        <v>32.266922276108254</v>
      </c>
      <c r="AN81" s="575">
        <f t="shared" si="31"/>
        <v>32.310703717459816</v>
      </c>
      <c r="AO81" s="575">
        <f t="shared" si="31"/>
        <v>32.354485158811393</v>
      </c>
      <c r="AP81" s="575">
        <f t="shared" si="31"/>
        <v>32.39826660016297</v>
      </c>
      <c r="AQ81" s="575">
        <f t="shared" si="31"/>
        <v>32.442048041514546</v>
      </c>
      <c r="AR81" s="575">
        <f t="shared" si="31"/>
        <v>32.485829482866109</v>
      </c>
      <c r="AS81" s="575">
        <f t="shared" si="31"/>
        <v>32.529610924217685</v>
      </c>
      <c r="AT81" s="575">
        <f t="shared" si="31"/>
        <v>32.573392365569248</v>
      </c>
      <c r="AU81" s="575">
        <f t="shared" si="31"/>
        <v>32.617173806920832</v>
      </c>
      <c r="AV81" s="248"/>
      <c r="AW81" s="248"/>
      <c r="AX81" s="248"/>
      <c r="AY81" s="248"/>
    </row>
    <row r="82" spans="2:51" ht="15">
      <c r="B82" s="10" t="str">
        <f>Processes!D64</f>
        <v>EXPDSB1</v>
      </c>
      <c r="C82" s="10" t="str">
        <f>Processes!E64</f>
        <v>Export technology - Biodiesel G1</v>
      </c>
      <c r="D82" s="263" t="str">
        <f t="shared" si="28"/>
        <v>DSB1</v>
      </c>
      <c r="E82" s="263"/>
      <c r="F82" s="108" t="str">
        <f t="shared" si="24"/>
        <v>MKr19</v>
      </c>
      <c r="G82" s="575">
        <f>G74</f>
        <v>100.13</v>
      </c>
      <c r="H82" s="575">
        <f t="shared" ref="H82:AU82" si="32">H74</f>
        <v>111.53</v>
      </c>
      <c r="I82" s="575">
        <f t="shared" si="32"/>
        <v>127.48999999999998</v>
      </c>
      <c r="J82" s="575">
        <f t="shared" si="32"/>
        <v>117.03999999999999</v>
      </c>
      <c r="K82" s="575">
        <f t="shared" si="32"/>
        <v>107.82499999999999</v>
      </c>
      <c r="L82" s="575">
        <f t="shared" si="32"/>
        <v>73.149999999999991</v>
      </c>
      <c r="M82" s="575">
        <f t="shared" si="32"/>
        <v>70.3</v>
      </c>
      <c r="N82" s="575">
        <f t="shared" si="32"/>
        <v>74.290000000000006</v>
      </c>
      <c r="O82" s="575">
        <f t="shared" si="32"/>
        <v>96.426022004987345</v>
      </c>
      <c r="P82" s="575">
        <f t="shared" si="32"/>
        <v>90.807615434698747</v>
      </c>
      <c r="Q82" s="575">
        <f t="shared" si="32"/>
        <v>89.401673832219473</v>
      </c>
      <c r="R82" s="575">
        <f t="shared" si="32"/>
        <v>68.516792691424257</v>
      </c>
      <c r="S82" s="575">
        <f t="shared" si="32"/>
        <v>71.754866618593084</v>
      </c>
      <c r="T82" s="575">
        <f t="shared" si="32"/>
        <v>73.96179631899065</v>
      </c>
      <c r="U82" s="575">
        <f t="shared" si="32"/>
        <v>75.575095006707542</v>
      </c>
      <c r="V82" s="575">
        <f t="shared" si="32"/>
        <v>76.749748941909317</v>
      </c>
      <c r="W82" s="575">
        <f t="shared" si="32"/>
        <v>78.046939113302997</v>
      </c>
      <c r="X82" s="575">
        <f t="shared" si="32"/>
        <v>79.318170941805391</v>
      </c>
      <c r="Y82" s="575">
        <f t="shared" si="32"/>
        <v>80.48773617399354</v>
      </c>
      <c r="Z82" s="575">
        <f t="shared" si="32"/>
        <v>81.715850466579965</v>
      </c>
      <c r="AA82" s="575">
        <f t="shared" si="32"/>
        <v>82.877880872470527</v>
      </c>
      <c r="AB82" s="575">
        <f t="shared" si="32"/>
        <v>82.587044298377819</v>
      </c>
      <c r="AC82" s="575">
        <f t="shared" si="32"/>
        <v>82.295512149203404</v>
      </c>
      <c r="AD82" s="575">
        <f t="shared" si="32"/>
        <v>82.005183686862722</v>
      </c>
      <c r="AE82" s="575">
        <f t="shared" si="32"/>
        <v>81.714126007099949</v>
      </c>
      <c r="AF82" s="575">
        <f t="shared" si="32"/>
        <v>81.423160188978741</v>
      </c>
      <c r="AG82" s="575">
        <f t="shared" si="32"/>
        <v>81.131314786114757</v>
      </c>
      <c r="AH82" s="575">
        <f t="shared" si="32"/>
        <v>80.840497833412343</v>
      </c>
      <c r="AI82" s="575">
        <f t="shared" si="32"/>
        <v>80.548986928309944</v>
      </c>
      <c r="AJ82" s="575">
        <f t="shared" si="32"/>
        <v>80.258358418959332</v>
      </c>
      <c r="AK82" s="575">
        <f t="shared" si="32"/>
        <v>79.967443126641484</v>
      </c>
      <c r="AL82" s="575">
        <f t="shared" si="32"/>
        <v>79.676528313431973</v>
      </c>
      <c r="AM82" s="575">
        <f t="shared" si="32"/>
        <v>79.388615803438867</v>
      </c>
      <c r="AN82" s="575">
        <f t="shared" si="32"/>
        <v>79.10070874877735</v>
      </c>
      <c r="AO82" s="575">
        <f t="shared" si="32"/>
        <v>78.812807156422508</v>
      </c>
      <c r="AP82" s="575">
        <f t="shared" si="32"/>
        <v>78.524911033358194</v>
      </c>
      <c r="AQ82" s="575">
        <f t="shared" si="32"/>
        <v>78.237020386577257</v>
      </c>
      <c r="AR82" s="575">
        <f t="shared" si="32"/>
        <v>77.949135223081484</v>
      </c>
      <c r="AS82" s="575">
        <f t="shared" si="32"/>
        <v>77.661255549881631</v>
      </c>
      <c r="AT82" s="575">
        <f t="shared" si="32"/>
        <v>77.373381373997375</v>
      </c>
      <c r="AU82" s="575">
        <f t="shared" si="32"/>
        <v>77.085512702457393</v>
      </c>
      <c r="AV82" s="248"/>
      <c r="AW82" s="248"/>
      <c r="AX82" s="248"/>
      <c r="AY82" s="248"/>
    </row>
    <row r="83" spans="2:51" ht="15">
      <c r="B83" s="10" t="str">
        <f>Processes!D65</f>
        <v>EXPDSB2</v>
      </c>
      <c r="C83" s="10" t="str">
        <f>Processes!E65</f>
        <v>Export technology - Biodiesel G2</v>
      </c>
      <c r="D83" s="263" t="str">
        <f t="shared" si="28"/>
        <v>DSB2</v>
      </c>
      <c r="E83" s="263"/>
      <c r="F83" s="108" t="str">
        <f t="shared" si="24"/>
        <v>MKr19</v>
      </c>
      <c r="G83" s="575">
        <f>G82</f>
        <v>100.13</v>
      </c>
      <c r="H83" s="575">
        <f t="shared" ref="H83:AU84" si="33">H82</f>
        <v>111.53</v>
      </c>
      <c r="I83" s="575">
        <f t="shared" si="33"/>
        <v>127.48999999999998</v>
      </c>
      <c r="J83" s="575">
        <f t="shared" si="33"/>
        <v>117.03999999999999</v>
      </c>
      <c r="K83" s="575">
        <f t="shared" si="33"/>
        <v>107.82499999999999</v>
      </c>
      <c r="L83" s="575">
        <f t="shared" si="33"/>
        <v>73.149999999999991</v>
      </c>
      <c r="M83" s="575">
        <f t="shared" si="33"/>
        <v>70.3</v>
      </c>
      <c r="N83" s="575">
        <f t="shared" si="33"/>
        <v>74.290000000000006</v>
      </c>
      <c r="O83" s="575">
        <f t="shared" si="33"/>
        <v>96.426022004987345</v>
      </c>
      <c r="P83" s="575">
        <f t="shared" si="33"/>
        <v>90.807615434698747</v>
      </c>
      <c r="Q83" s="575">
        <f t="shared" si="33"/>
        <v>89.401673832219473</v>
      </c>
      <c r="R83" s="575">
        <f t="shared" si="33"/>
        <v>68.516792691424257</v>
      </c>
      <c r="S83" s="575">
        <f t="shared" si="33"/>
        <v>71.754866618593084</v>
      </c>
      <c r="T83" s="575">
        <f t="shared" si="33"/>
        <v>73.96179631899065</v>
      </c>
      <c r="U83" s="575">
        <f t="shared" si="33"/>
        <v>75.575095006707542</v>
      </c>
      <c r="V83" s="575">
        <f t="shared" si="33"/>
        <v>76.749748941909317</v>
      </c>
      <c r="W83" s="575">
        <f t="shared" si="33"/>
        <v>78.046939113302997</v>
      </c>
      <c r="X83" s="575">
        <f t="shared" si="33"/>
        <v>79.318170941805391</v>
      </c>
      <c r="Y83" s="575">
        <f t="shared" si="33"/>
        <v>80.48773617399354</v>
      </c>
      <c r="Z83" s="575">
        <f t="shared" si="33"/>
        <v>81.715850466579965</v>
      </c>
      <c r="AA83" s="575">
        <f t="shared" si="33"/>
        <v>82.877880872470527</v>
      </c>
      <c r="AB83" s="575">
        <f t="shared" si="33"/>
        <v>82.587044298377819</v>
      </c>
      <c r="AC83" s="575">
        <f t="shared" si="33"/>
        <v>82.295512149203404</v>
      </c>
      <c r="AD83" s="575">
        <f t="shared" si="33"/>
        <v>82.005183686862722</v>
      </c>
      <c r="AE83" s="575">
        <f t="shared" si="33"/>
        <v>81.714126007099949</v>
      </c>
      <c r="AF83" s="575">
        <f t="shared" si="33"/>
        <v>81.423160188978741</v>
      </c>
      <c r="AG83" s="575">
        <f t="shared" si="33"/>
        <v>81.131314786114757</v>
      </c>
      <c r="AH83" s="575">
        <f t="shared" si="33"/>
        <v>80.840497833412343</v>
      </c>
      <c r="AI83" s="575">
        <f t="shared" si="33"/>
        <v>80.548986928309944</v>
      </c>
      <c r="AJ83" s="575">
        <f t="shared" si="33"/>
        <v>80.258358418959332</v>
      </c>
      <c r="AK83" s="575">
        <f t="shared" si="33"/>
        <v>79.967443126641484</v>
      </c>
      <c r="AL83" s="575">
        <f t="shared" si="33"/>
        <v>79.676528313431973</v>
      </c>
      <c r="AM83" s="575">
        <f t="shared" si="33"/>
        <v>79.388615803438867</v>
      </c>
      <c r="AN83" s="575">
        <f t="shared" si="33"/>
        <v>79.10070874877735</v>
      </c>
      <c r="AO83" s="575">
        <f t="shared" si="33"/>
        <v>78.812807156422508</v>
      </c>
      <c r="AP83" s="575">
        <f t="shared" si="33"/>
        <v>78.524911033358194</v>
      </c>
      <c r="AQ83" s="575">
        <f t="shared" si="33"/>
        <v>78.237020386577257</v>
      </c>
      <c r="AR83" s="575">
        <f t="shared" si="33"/>
        <v>77.949135223081484</v>
      </c>
      <c r="AS83" s="575">
        <f t="shared" si="33"/>
        <v>77.661255549881631</v>
      </c>
      <c r="AT83" s="575">
        <f t="shared" si="33"/>
        <v>77.373381373997375</v>
      </c>
      <c r="AU83" s="575">
        <f t="shared" si="33"/>
        <v>77.085512702457393</v>
      </c>
      <c r="AV83" s="248"/>
      <c r="AW83" s="248"/>
      <c r="AX83" s="248"/>
      <c r="AY83" s="248"/>
    </row>
    <row r="84" spans="2:51" s="576" customFormat="1" ht="15">
      <c r="B84" s="10" t="str">
        <f>Processes!D66</f>
        <v>EXPDSE</v>
      </c>
      <c r="C84" s="10" t="str">
        <f>Processes!E66</f>
        <v>Export technology - Electro Diesel</v>
      </c>
      <c r="D84" s="263" t="str">
        <f>RIGHT(B84,3)</f>
        <v>DSE</v>
      </c>
      <c r="E84" s="263"/>
      <c r="F84" s="108" t="str">
        <f t="shared" si="24"/>
        <v>MKr19</v>
      </c>
      <c r="G84" s="575">
        <f>G83</f>
        <v>100.13</v>
      </c>
      <c r="H84" s="575">
        <f t="shared" si="33"/>
        <v>111.53</v>
      </c>
      <c r="I84" s="575">
        <f t="shared" si="33"/>
        <v>127.48999999999998</v>
      </c>
      <c r="J84" s="575">
        <f t="shared" si="33"/>
        <v>117.03999999999999</v>
      </c>
      <c r="K84" s="575">
        <f t="shared" si="33"/>
        <v>107.82499999999999</v>
      </c>
      <c r="L84" s="575">
        <f t="shared" si="33"/>
        <v>73.149999999999991</v>
      </c>
      <c r="M84" s="575">
        <f t="shared" si="33"/>
        <v>70.3</v>
      </c>
      <c r="N84" s="575">
        <f t="shared" si="33"/>
        <v>74.290000000000006</v>
      </c>
      <c r="O84" s="575">
        <f t="shared" si="33"/>
        <v>96.426022004987345</v>
      </c>
      <c r="P84" s="575">
        <f t="shared" si="33"/>
        <v>90.807615434698747</v>
      </c>
      <c r="Q84" s="575">
        <f t="shared" si="33"/>
        <v>89.401673832219473</v>
      </c>
      <c r="R84" s="575">
        <f t="shared" si="33"/>
        <v>68.516792691424257</v>
      </c>
      <c r="S84" s="575">
        <f t="shared" si="33"/>
        <v>71.754866618593084</v>
      </c>
      <c r="T84" s="575">
        <f t="shared" si="33"/>
        <v>73.96179631899065</v>
      </c>
      <c r="U84" s="575">
        <f t="shared" si="33"/>
        <v>75.575095006707542</v>
      </c>
      <c r="V84" s="575">
        <f t="shared" si="33"/>
        <v>76.749748941909317</v>
      </c>
      <c r="W84" s="575">
        <f t="shared" si="33"/>
        <v>78.046939113302997</v>
      </c>
      <c r="X84" s="575">
        <f t="shared" si="33"/>
        <v>79.318170941805391</v>
      </c>
      <c r="Y84" s="575">
        <f t="shared" si="33"/>
        <v>80.48773617399354</v>
      </c>
      <c r="Z84" s="575">
        <f t="shared" si="33"/>
        <v>81.715850466579965</v>
      </c>
      <c r="AA84" s="575">
        <f t="shared" si="33"/>
        <v>82.877880872470527</v>
      </c>
      <c r="AB84" s="575">
        <f t="shared" si="33"/>
        <v>82.587044298377819</v>
      </c>
      <c r="AC84" s="575">
        <f t="shared" si="33"/>
        <v>82.295512149203404</v>
      </c>
      <c r="AD84" s="575">
        <f t="shared" si="33"/>
        <v>82.005183686862722</v>
      </c>
      <c r="AE84" s="575">
        <f t="shared" si="33"/>
        <v>81.714126007099949</v>
      </c>
      <c r="AF84" s="575">
        <f t="shared" si="33"/>
        <v>81.423160188978741</v>
      </c>
      <c r="AG84" s="575">
        <f t="shared" si="33"/>
        <v>81.131314786114757</v>
      </c>
      <c r="AH84" s="575">
        <f t="shared" si="33"/>
        <v>80.840497833412343</v>
      </c>
      <c r="AI84" s="575">
        <f t="shared" si="33"/>
        <v>80.548986928309944</v>
      </c>
      <c r="AJ84" s="575">
        <f t="shared" si="33"/>
        <v>80.258358418959332</v>
      </c>
      <c r="AK84" s="575">
        <f t="shared" si="33"/>
        <v>79.967443126641484</v>
      </c>
      <c r="AL84" s="575">
        <f t="shared" si="33"/>
        <v>79.676528313431973</v>
      </c>
      <c r="AM84" s="575">
        <f t="shared" si="33"/>
        <v>79.388615803438867</v>
      </c>
      <c r="AN84" s="575">
        <f t="shared" si="33"/>
        <v>79.10070874877735</v>
      </c>
      <c r="AO84" s="575">
        <f t="shared" si="33"/>
        <v>78.812807156422508</v>
      </c>
      <c r="AP84" s="575">
        <f t="shared" si="33"/>
        <v>78.524911033358194</v>
      </c>
      <c r="AQ84" s="575">
        <f t="shared" si="33"/>
        <v>78.237020386577257</v>
      </c>
      <c r="AR84" s="575">
        <f t="shared" si="33"/>
        <v>77.949135223081484</v>
      </c>
      <c r="AS84" s="575">
        <f t="shared" si="33"/>
        <v>77.661255549881631</v>
      </c>
      <c r="AT84" s="575">
        <f t="shared" si="33"/>
        <v>77.373381373997375</v>
      </c>
      <c r="AU84" s="575">
        <f t="shared" si="33"/>
        <v>77.085512702457393</v>
      </c>
      <c r="AV84" s="248"/>
      <c r="AW84" s="248"/>
      <c r="AX84" s="248"/>
      <c r="AY84" s="248"/>
    </row>
    <row r="85" spans="2:51" ht="15">
      <c r="B85" s="10" t="str">
        <f>Processes!D67</f>
        <v>EXPGSB1</v>
      </c>
      <c r="C85" s="10" t="str">
        <f>Processes!E67</f>
        <v>Export technology - Bioethanol G1</v>
      </c>
      <c r="D85" s="263" t="str">
        <f t="shared" si="28"/>
        <v>GSB1</v>
      </c>
      <c r="E85" s="263"/>
      <c r="F85" s="108" t="str">
        <f t="shared" si="24"/>
        <v>MKr19</v>
      </c>
      <c r="G85" s="575">
        <f>G72</f>
        <v>88.16</v>
      </c>
      <c r="H85" s="575">
        <f t="shared" ref="H85:AU85" si="34">H72</f>
        <v>116.755</v>
      </c>
      <c r="I85" s="575">
        <f t="shared" si="34"/>
        <v>129.86499999999998</v>
      </c>
      <c r="J85" s="575">
        <f t="shared" si="34"/>
        <v>115.89999999999999</v>
      </c>
      <c r="K85" s="575">
        <f t="shared" si="34"/>
        <v>109.05999999999999</v>
      </c>
      <c r="L85" s="575">
        <f t="shared" si="34"/>
        <v>74.290000000000006</v>
      </c>
      <c r="M85" s="575">
        <f t="shared" si="34"/>
        <v>71.534999999999997</v>
      </c>
      <c r="N85" s="575">
        <f t="shared" si="34"/>
        <v>75.430000000000007</v>
      </c>
      <c r="O85" s="575">
        <f t="shared" si="34"/>
        <v>97.281022004987349</v>
      </c>
      <c r="P85" s="575">
        <f t="shared" si="34"/>
        <v>92.859615434698739</v>
      </c>
      <c r="Q85" s="575">
        <f t="shared" si="34"/>
        <v>91.453673832219465</v>
      </c>
      <c r="R85" s="575">
        <f t="shared" si="34"/>
        <v>70.56879269142425</v>
      </c>
      <c r="S85" s="575">
        <f t="shared" si="34"/>
        <v>73.806866618593077</v>
      </c>
      <c r="T85" s="575">
        <f t="shared" si="34"/>
        <v>76.013796318990643</v>
      </c>
      <c r="U85" s="575">
        <f t="shared" si="34"/>
        <v>77.627095006707535</v>
      </c>
      <c r="V85" s="575">
        <f t="shared" si="34"/>
        <v>78.80174894190931</v>
      </c>
      <c r="W85" s="575">
        <f t="shared" si="34"/>
        <v>80.09893911330299</v>
      </c>
      <c r="X85" s="575">
        <f t="shared" si="34"/>
        <v>81.370170941805384</v>
      </c>
      <c r="Y85" s="575">
        <f t="shared" si="34"/>
        <v>82.539736173993532</v>
      </c>
      <c r="Z85" s="575">
        <f t="shared" si="34"/>
        <v>83.767850466579958</v>
      </c>
      <c r="AA85" s="575">
        <f t="shared" si="34"/>
        <v>84.929880872470534</v>
      </c>
      <c r="AB85" s="575">
        <f t="shared" si="34"/>
        <v>84.639044298377826</v>
      </c>
      <c r="AC85" s="575">
        <f t="shared" si="34"/>
        <v>84.347512149203396</v>
      </c>
      <c r="AD85" s="575">
        <f t="shared" si="34"/>
        <v>84.057183686862714</v>
      </c>
      <c r="AE85" s="575">
        <f t="shared" si="34"/>
        <v>83.766126007099942</v>
      </c>
      <c r="AF85" s="575">
        <f t="shared" si="34"/>
        <v>83.475160188978734</v>
      </c>
      <c r="AG85" s="575">
        <f t="shared" si="34"/>
        <v>83.183314786114749</v>
      </c>
      <c r="AH85" s="575">
        <f t="shared" si="34"/>
        <v>82.892497833412349</v>
      </c>
      <c r="AI85" s="575">
        <f t="shared" si="34"/>
        <v>82.600986928309936</v>
      </c>
      <c r="AJ85" s="575">
        <f t="shared" si="34"/>
        <v>82.310358418959339</v>
      </c>
      <c r="AK85" s="575">
        <f t="shared" si="34"/>
        <v>82.019443126641477</v>
      </c>
      <c r="AL85" s="575">
        <f t="shared" si="34"/>
        <v>81.728528313431966</v>
      </c>
      <c r="AM85" s="575">
        <f t="shared" si="34"/>
        <v>81.44061580343886</v>
      </c>
      <c r="AN85" s="575">
        <f t="shared" si="34"/>
        <v>81.152708748777343</v>
      </c>
      <c r="AO85" s="575">
        <f t="shared" si="34"/>
        <v>80.864807156422501</v>
      </c>
      <c r="AP85" s="575">
        <f t="shared" si="34"/>
        <v>80.576911033358186</v>
      </c>
      <c r="AQ85" s="575">
        <f t="shared" si="34"/>
        <v>80.289020386577249</v>
      </c>
      <c r="AR85" s="575">
        <f t="shared" si="34"/>
        <v>80.001135223081477</v>
      </c>
      <c r="AS85" s="575">
        <f t="shared" si="34"/>
        <v>79.713255549881637</v>
      </c>
      <c r="AT85" s="575">
        <f t="shared" si="34"/>
        <v>79.425381373997368</v>
      </c>
      <c r="AU85" s="575">
        <f t="shared" si="34"/>
        <v>79.137512702457386</v>
      </c>
      <c r="AV85" s="297"/>
      <c r="AW85" s="297"/>
      <c r="AX85" s="297"/>
      <c r="AY85" s="248"/>
    </row>
    <row r="86" spans="2:51" ht="15">
      <c r="B86" s="107" t="str">
        <f>Processes!D68</f>
        <v>EXPGSB2</v>
      </c>
      <c r="C86" s="107" t="str">
        <f>Processes!E68</f>
        <v>Export technology - Bioethanol G2</v>
      </c>
      <c r="D86" s="265" t="str">
        <f t="shared" si="28"/>
        <v>GSB2</v>
      </c>
      <c r="E86" s="265"/>
      <c r="F86" s="108" t="str">
        <f t="shared" si="24"/>
        <v>MKr19</v>
      </c>
      <c r="G86" s="575">
        <f>G85</f>
        <v>88.16</v>
      </c>
      <c r="H86" s="575">
        <f t="shared" ref="H86:AU87" si="35">H85</f>
        <v>116.755</v>
      </c>
      <c r="I86" s="575">
        <f t="shared" si="35"/>
        <v>129.86499999999998</v>
      </c>
      <c r="J86" s="575">
        <f t="shared" si="35"/>
        <v>115.89999999999999</v>
      </c>
      <c r="K86" s="575">
        <f t="shared" si="35"/>
        <v>109.05999999999999</v>
      </c>
      <c r="L86" s="575">
        <f t="shared" si="35"/>
        <v>74.290000000000006</v>
      </c>
      <c r="M86" s="575">
        <f t="shared" si="35"/>
        <v>71.534999999999997</v>
      </c>
      <c r="N86" s="575">
        <f t="shared" si="35"/>
        <v>75.430000000000007</v>
      </c>
      <c r="O86" s="575">
        <f t="shared" si="35"/>
        <v>97.281022004987349</v>
      </c>
      <c r="P86" s="575">
        <f t="shared" si="35"/>
        <v>92.859615434698739</v>
      </c>
      <c r="Q86" s="575">
        <f t="shared" si="35"/>
        <v>91.453673832219465</v>
      </c>
      <c r="R86" s="575">
        <f t="shared" si="35"/>
        <v>70.56879269142425</v>
      </c>
      <c r="S86" s="575">
        <f t="shared" si="35"/>
        <v>73.806866618593077</v>
      </c>
      <c r="T86" s="575">
        <f t="shared" si="35"/>
        <v>76.013796318990643</v>
      </c>
      <c r="U86" s="575">
        <f t="shared" si="35"/>
        <v>77.627095006707535</v>
      </c>
      <c r="V86" s="575">
        <f t="shared" si="35"/>
        <v>78.80174894190931</v>
      </c>
      <c r="W86" s="575">
        <f t="shared" si="35"/>
        <v>80.09893911330299</v>
      </c>
      <c r="X86" s="575">
        <f t="shared" si="35"/>
        <v>81.370170941805384</v>
      </c>
      <c r="Y86" s="575">
        <f t="shared" si="35"/>
        <v>82.539736173993532</v>
      </c>
      <c r="Z86" s="575">
        <f t="shared" si="35"/>
        <v>83.767850466579958</v>
      </c>
      <c r="AA86" s="575">
        <f t="shared" si="35"/>
        <v>84.929880872470534</v>
      </c>
      <c r="AB86" s="575">
        <f t="shared" si="35"/>
        <v>84.639044298377826</v>
      </c>
      <c r="AC86" s="575">
        <f t="shared" si="35"/>
        <v>84.347512149203396</v>
      </c>
      <c r="AD86" s="575">
        <f t="shared" si="35"/>
        <v>84.057183686862714</v>
      </c>
      <c r="AE86" s="575">
        <f t="shared" si="35"/>
        <v>83.766126007099942</v>
      </c>
      <c r="AF86" s="575">
        <f t="shared" si="35"/>
        <v>83.475160188978734</v>
      </c>
      <c r="AG86" s="575">
        <f t="shared" si="35"/>
        <v>83.183314786114749</v>
      </c>
      <c r="AH86" s="575">
        <f t="shared" si="35"/>
        <v>82.892497833412349</v>
      </c>
      <c r="AI86" s="575">
        <f t="shared" si="35"/>
        <v>82.600986928309936</v>
      </c>
      <c r="AJ86" s="575">
        <f t="shared" si="35"/>
        <v>82.310358418959339</v>
      </c>
      <c r="AK86" s="575">
        <f t="shared" si="35"/>
        <v>82.019443126641477</v>
      </c>
      <c r="AL86" s="575">
        <f t="shared" si="35"/>
        <v>81.728528313431966</v>
      </c>
      <c r="AM86" s="575">
        <f t="shared" si="35"/>
        <v>81.44061580343886</v>
      </c>
      <c r="AN86" s="575">
        <f t="shared" si="35"/>
        <v>81.152708748777343</v>
      </c>
      <c r="AO86" s="575">
        <f t="shared" si="35"/>
        <v>80.864807156422501</v>
      </c>
      <c r="AP86" s="575">
        <f t="shared" si="35"/>
        <v>80.576911033358186</v>
      </c>
      <c r="AQ86" s="575">
        <f t="shared" si="35"/>
        <v>80.289020386577249</v>
      </c>
      <c r="AR86" s="575">
        <f t="shared" si="35"/>
        <v>80.001135223081477</v>
      </c>
      <c r="AS86" s="575">
        <f t="shared" si="35"/>
        <v>79.713255549881637</v>
      </c>
      <c r="AT86" s="575">
        <f t="shared" si="35"/>
        <v>79.425381373997368</v>
      </c>
      <c r="AU86" s="575">
        <f t="shared" si="35"/>
        <v>79.137512702457386</v>
      </c>
      <c r="AV86" s="279"/>
      <c r="AW86" s="279"/>
      <c r="AX86" s="279"/>
      <c r="AY86" s="279"/>
    </row>
    <row r="87" spans="2:51" s="576" customFormat="1" ht="15">
      <c r="B87" s="107" t="str">
        <f>Processes!D69</f>
        <v>EXPGSE</v>
      </c>
      <c r="C87" s="107" t="str">
        <f>Processes!E69</f>
        <v>Export technology - Electro Gasoline</v>
      </c>
      <c r="D87" s="265" t="str">
        <f>RIGHT(B87,3)</f>
        <v>GSE</v>
      </c>
      <c r="E87" s="265"/>
      <c r="F87" s="108" t="str">
        <f t="shared" si="24"/>
        <v>MKr19</v>
      </c>
      <c r="G87" s="575">
        <f>G86</f>
        <v>88.16</v>
      </c>
      <c r="H87" s="575">
        <f t="shared" si="35"/>
        <v>116.755</v>
      </c>
      <c r="I87" s="575">
        <f t="shared" si="35"/>
        <v>129.86499999999998</v>
      </c>
      <c r="J87" s="575">
        <f t="shared" si="35"/>
        <v>115.89999999999999</v>
      </c>
      <c r="K87" s="575">
        <f t="shared" si="35"/>
        <v>109.05999999999999</v>
      </c>
      <c r="L87" s="575">
        <f t="shared" si="35"/>
        <v>74.290000000000006</v>
      </c>
      <c r="M87" s="575">
        <f t="shared" si="35"/>
        <v>71.534999999999997</v>
      </c>
      <c r="N87" s="575">
        <f t="shared" si="35"/>
        <v>75.430000000000007</v>
      </c>
      <c r="O87" s="575">
        <f t="shared" si="35"/>
        <v>97.281022004987349</v>
      </c>
      <c r="P87" s="575">
        <f t="shared" si="35"/>
        <v>92.859615434698739</v>
      </c>
      <c r="Q87" s="575">
        <f t="shared" si="35"/>
        <v>91.453673832219465</v>
      </c>
      <c r="R87" s="575">
        <f t="shared" si="35"/>
        <v>70.56879269142425</v>
      </c>
      <c r="S87" s="575">
        <f t="shared" si="35"/>
        <v>73.806866618593077</v>
      </c>
      <c r="T87" s="575">
        <f t="shared" si="35"/>
        <v>76.013796318990643</v>
      </c>
      <c r="U87" s="575">
        <f t="shared" si="35"/>
        <v>77.627095006707535</v>
      </c>
      <c r="V87" s="575">
        <f t="shared" si="35"/>
        <v>78.80174894190931</v>
      </c>
      <c r="W87" s="575">
        <f t="shared" si="35"/>
        <v>80.09893911330299</v>
      </c>
      <c r="X87" s="575">
        <f t="shared" si="35"/>
        <v>81.370170941805384</v>
      </c>
      <c r="Y87" s="575">
        <f t="shared" si="35"/>
        <v>82.539736173993532</v>
      </c>
      <c r="Z87" s="575">
        <f t="shared" si="35"/>
        <v>83.767850466579958</v>
      </c>
      <c r="AA87" s="575">
        <f t="shared" si="35"/>
        <v>84.929880872470534</v>
      </c>
      <c r="AB87" s="575">
        <f t="shared" si="35"/>
        <v>84.639044298377826</v>
      </c>
      <c r="AC87" s="575">
        <f t="shared" si="35"/>
        <v>84.347512149203396</v>
      </c>
      <c r="AD87" s="575">
        <f t="shared" si="35"/>
        <v>84.057183686862714</v>
      </c>
      <c r="AE87" s="575">
        <f t="shared" si="35"/>
        <v>83.766126007099942</v>
      </c>
      <c r="AF87" s="575">
        <f t="shared" si="35"/>
        <v>83.475160188978734</v>
      </c>
      <c r="AG87" s="575">
        <f t="shared" si="35"/>
        <v>83.183314786114749</v>
      </c>
      <c r="AH87" s="575">
        <f t="shared" si="35"/>
        <v>82.892497833412349</v>
      </c>
      <c r="AI87" s="575">
        <f t="shared" si="35"/>
        <v>82.600986928309936</v>
      </c>
      <c r="AJ87" s="575">
        <f t="shared" si="35"/>
        <v>82.310358418959339</v>
      </c>
      <c r="AK87" s="575">
        <f t="shared" si="35"/>
        <v>82.019443126641477</v>
      </c>
      <c r="AL87" s="575">
        <f t="shared" si="35"/>
        <v>81.728528313431966</v>
      </c>
      <c r="AM87" s="575">
        <f t="shared" si="35"/>
        <v>81.44061580343886</v>
      </c>
      <c r="AN87" s="575">
        <f t="shared" si="35"/>
        <v>81.152708748777343</v>
      </c>
      <c r="AO87" s="575">
        <f t="shared" si="35"/>
        <v>80.864807156422501</v>
      </c>
      <c r="AP87" s="575">
        <f t="shared" si="35"/>
        <v>80.576911033358186</v>
      </c>
      <c r="AQ87" s="575">
        <f t="shared" si="35"/>
        <v>80.289020386577249</v>
      </c>
      <c r="AR87" s="575">
        <f t="shared" si="35"/>
        <v>80.001135223081477</v>
      </c>
      <c r="AS87" s="575">
        <f t="shared" si="35"/>
        <v>79.713255549881637</v>
      </c>
      <c r="AT87" s="575">
        <f t="shared" si="35"/>
        <v>79.425381373997368</v>
      </c>
      <c r="AU87" s="575">
        <f t="shared" si="35"/>
        <v>79.137512702457386</v>
      </c>
      <c r="AV87" s="279"/>
      <c r="AW87" s="279"/>
      <c r="AX87" s="279"/>
      <c r="AY87" s="279"/>
    </row>
    <row r="88" spans="2:51" s="576" customFormat="1" ht="15">
      <c r="B88" s="107" t="str">
        <f>Processes!D70</f>
        <v>EXPCRB</v>
      </c>
      <c r="C88" s="107" t="str">
        <f>Processes!E70</f>
        <v>Export technology - Crude Bio oil</v>
      </c>
      <c r="D88" s="265" t="str">
        <f>RIGHT(B88,3)</f>
        <v>CRB</v>
      </c>
      <c r="E88" s="265"/>
      <c r="F88" s="578" t="s">
        <v>1113</v>
      </c>
      <c r="G88" s="575">
        <f>G69</f>
        <v>72.39</v>
      </c>
      <c r="H88" s="575">
        <f t="shared" ref="H88:AU88" si="36">H69</f>
        <v>100.79499999999999</v>
      </c>
      <c r="I88" s="575">
        <f t="shared" si="36"/>
        <v>107.255</v>
      </c>
      <c r="J88" s="575">
        <f t="shared" si="36"/>
        <v>95.284999999999997</v>
      </c>
      <c r="K88" s="575">
        <f t="shared" si="36"/>
        <v>92.434999999999988</v>
      </c>
      <c r="L88" s="575">
        <f t="shared" si="36"/>
        <v>59.564999999999998</v>
      </c>
      <c r="M88" s="575">
        <f t="shared" si="36"/>
        <v>56.904999999999994</v>
      </c>
      <c r="N88" s="575">
        <f t="shared" si="36"/>
        <v>60.704999999999998</v>
      </c>
      <c r="O88" s="575">
        <f t="shared" si="36"/>
        <v>74.663266513337106</v>
      </c>
      <c r="P88" s="575">
        <f t="shared" si="36"/>
        <v>69.03441780821916</v>
      </c>
      <c r="Q88" s="575">
        <f t="shared" si="36"/>
        <v>67.631970550230122</v>
      </c>
      <c r="R88" s="575">
        <f t="shared" si="36"/>
        <v>46.72206120455769</v>
      </c>
      <c r="S88" s="575">
        <f t="shared" si="36"/>
        <v>49.952257260471079</v>
      </c>
      <c r="T88" s="575">
        <f t="shared" si="36"/>
        <v>52.145468152516102</v>
      </c>
      <c r="U88" s="575">
        <f t="shared" si="36"/>
        <v>53.739968659338345</v>
      </c>
      <c r="V88" s="575">
        <f t="shared" si="36"/>
        <v>54.897107604482805</v>
      </c>
      <c r="W88" s="575">
        <f t="shared" si="36"/>
        <v>56.188956663113622</v>
      </c>
      <c r="X88" s="575">
        <f t="shared" si="36"/>
        <v>57.454144637525566</v>
      </c>
      <c r="Y88" s="575">
        <f t="shared" si="36"/>
        <v>58.618015544439388</v>
      </c>
      <c r="Z88" s="575">
        <f t="shared" si="36"/>
        <v>59.840122211312412</v>
      </c>
      <c r="AA88" s="575">
        <f t="shared" si="36"/>
        <v>60.99866547075451</v>
      </c>
      <c r="AB88" s="575">
        <f t="shared" si="36"/>
        <v>60.706456294846689</v>
      </c>
      <c r="AC88" s="575">
        <f t="shared" si="36"/>
        <v>60.414247118938881</v>
      </c>
      <c r="AD88" s="575">
        <f t="shared" si="36"/>
        <v>60.122037943031081</v>
      </c>
      <c r="AE88" s="575">
        <f t="shared" si="36"/>
        <v>59.829828767123267</v>
      </c>
      <c r="AF88" s="575">
        <f t="shared" si="36"/>
        <v>59.537619591215467</v>
      </c>
      <c r="AG88" s="575">
        <f t="shared" si="36"/>
        <v>59.24541041530766</v>
      </c>
      <c r="AH88" s="575">
        <f t="shared" si="36"/>
        <v>58.95320123939986</v>
      </c>
      <c r="AI88" s="575">
        <f t="shared" si="36"/>
        <v>58.66099206349206</v>
      </c>
      <c r="AJ88" s="575">
        <f t="shared" si="36"/>
        <v>58.368782887584253</v>
      </c>
      <c r="AK88" s="575">
        <f t="shared" si="36"/>
        <v>58.076573711676446</v>
      </c>
      <c r="AL88" s="575">
        <f t="shared" si="36"/>
        <v>57.784364535768646</v>
      </c>
      <c r="AM88" s="575">
        <f t="shared" si="36"/>
        <v>57.492155359860831</v>
      </c>
      <c r="AN88" s="575">
        <f t="shared" si="36"/>
        <v>57.199946183953024</v>
      </c>
      <c r="AO88" s="575">
        <f t="shared" si="36"/>
        <v>56.907737008045224</v>
      </c>
      <c r="AP88" s="575">
        <f t="shared" si="36"/>
        <v>56.615527832137417</v>
      </c>
      <c r="AQ88" s="575">
        <f t="shared" si="36"/>
        <v>56.32331865622961</v>
      </c>
      <c r="AR88" s="575">
        <f t="shared" si="36"/>
        <v>56.031109480321803</v>
      </c>
      <c r="AS88" s="575">
        <f t="shared" si="36"/>
        <v>55.738900304414003</v>
      </c>
      <c r="AT88" s="575">
        <f t="shared" si="36"/>
        <v>55.446691128506195</v>
      </c>
      <c r="AU88" s="575">
        <f t="shared" si="36"/>
        <v>55.154481952598395</v>
      </c>
      <c r="AV88" s="279"/>
      <c r="AW88" s="279"/>
      <c r="AX88" s="279"/>
      <c r="AY88" s="279"/>
    </row>
    <row r="89" spans="2:51" s="576" customFormat="1" ht="15">
      <c r="B89" s="107" t="str">
        <f>Processes!D71</f>
        <v>EXPSYN</v>
      </c>
      <c r="C89" s="107" t="str">
        <f>Processes!E71</f>
        <v xml:space="preserve">Export technology - RE Syngas </v>
      </c>
      <c r="D89" s="265" t="str">
        <f>RIGHT(B89,3)</f>
        <v>SYN</v>
      </c>
      <c r="E89" s="265"/>
      <c r="F89" s="578" t="s">
        <v>1113</v>
      </c>
      <c r="G89" s="575">
        <f>G67*$E$184</f>
        <v>12.654</v>
      </c>
      <c r="H89" s="575">
        <f t="shared" ref="H89:AU89" si="37">H67*$E$184</f>
        <v>13.138500000000001</v>
      </c>
      <c r="I89" s="575">
        <f t="shared" si="37"/>
        <v>15.703499999999998</v>
      </c>
      <c r="J89" s="575">
        <f t="shared" si="37"/>
        <v>15.446999999999999</v>
      </c>
      <c r="K89" s="575">
        <f t="shared" si="37"/>
        <v>13.0245</v>
      </c>
      <c r="L89" s="575">
        <f t="shared" si="37"/>
        <v>12.54</v>
      </c>
      <c r="M89" s="575">
        <f t="shared" si="37"/>
        <v>10.487999999999998</v>
      </c>
      <c r="N89" s="575">
        <f t="shared" si="37"/>
        <v>10.516499999999999</v>
      </c>
      <c r="O89" s="575">
        <f t="shared" si="37"/>
        <v>15.225322263827319</v>
      </c>
      <c r="P89" s="575">
        <f t="shared" si="37"/>
        <v>9.7643882035768321</v>
      </c>
      <c r="Q89" s="575">
        <f t="shared" si="37"/>
        <v>9.5183872461474426</v>
      </c>
      <c r="R89" s="575">
        <f t="shared" si="37"/>
        <v>8.9847076572498867</v>
      </c>
      <c r="S89" s="575">
        <f t="shared" si="37"/>
        <v>9.3373263571394407</v>
      </c>
      <c r="T89" s="575">
        <f t="shared" si="37"/>
        <v>9.5097911691695067</v>
      </c>
      <c r="U89" s="575">
        <f t="shared" si="37"/>
        <v>9.5666303173031899</v>
      </c>
      <c r="V89" s="575">
        <f t="shared" si="37"/>
        <v>9.5492337869303938</v>
      </c>
      <c r="W89" s="575">
        <f t="shared" si="37"/>
        <v>9.5382771732266569</v>
      </c>
      <c r="X89" s="575">
        <f t="shared" si="37"/>
        <v>9.5312399195760253</v>
      </c>
      <c r="Y89" s="575">
        <f t="shared" si="37"/>
        <v>9.5252128832792362</v>
      </c>
      <c r="Z89" s="575">
        <f t="shared" si="37"/>
        <v>9.5230527706863555</v>
      </c>
      <c r="AA89" s="575">
        <f t="shared" si="37"/>
        <v>9.522463493966816</v>
      </c>
      <c r="AB89" s="575">
        <f t="shared" si="37"/>
        <v>9.5355979263722883</v>
      </c>
      <c r="AC89" s="575">
        <f t="shared" si="37"/>
        <v>9.5487323587777606</v>
      </c>
      <c r="AD89" s="575">
        <f t="shared" si="37"/>
        <v>9.5618667911832311</v>
      </c>
      <c r="AE89" s="575">
        <f t="shared" si="37"/>
        <v>9.5750012235887016</v>
      </c>
      <c r="AF89" s="575">
        <f t="shared" si="37"/>
        <v>9.5881356559941757</v>
      </c>
      <c r="AG89" s="575">
        <f t="shared" si="37"/>
        <v>9.601270088399648</v>
      </c>
      <c r="AH89" s="575">
        <f t="shared" si="37"/>
        <v>9.6144045208051168</v>
      </c>
      <c r="AI89" s="575">
        <f t="shared" si="37"/>
        <v>9.6275389532105908</v>
      </c>
      <c r="AJ89" s="575">
        <f t="shared" si="37"/>
        <v>9.6406733856160596</v>
      </c>
      <c r="AK89" s="575">
        <f t="shared" si="37"/>
        <v>9.6538078180215319</v>
      </c>
      <c r="AL89" s="575">
        <f t="shared" si="37"/>
        <v>9.6669422504270042</v>
      </c>
      <c r="AM89" s="575">
        <f t="shared" si="37"/>
        <v>9.6800766828324765</v>
      </c>
      <c r="AN89" s="575">
        <f t="shared" si="37"/>
        <v>9.6932111152379452</v>
      </c>
      <c r="AO89" s="575">
        <f t="shared" si="37"/>
        <v>9.7063455476434175</v>
      </c>
      <c r="AP89" s="575">
        <f t="shared" si="37"/>
        <v>9.7194799800488898</v>
      </c>
      <c r="AQ89" s="575">
        <f t="shared" si="37"/>
        <v>9.7326144124543639</v>
      </c>
      <c r="AR89" s="575">
        <f t="shared" si="37"/>
        <v>9.7457488448598326</v>
      </c>
      <c r="AS89" s="575">
        <f t="shared" si="37"/>
        <v>9.7588832772653049</v>
      </c>
      <c r="AT89" s="575">
        <f t="shared" si="37"/>
        <v>9.7720177096707737</v>
      </c>
      <c r="AU89" s="575">
        <f t="shared" si="37"/>
        <v>9.7851521420762495</v>
      </c>
      <c r="AV89" s="279"/>
      <c r="AW89" s="279"/>
      <c r="AX89" s="279"/>
      <c r="AY89" s="279"/>
    </row>
    <row r="90" spans="2:51" s="576" customFormat="1" ht="15">
      <c r="B90" s="107" t="str">
        <f>Processes!D72</f>
        <v>EXPH2</v>
      </c>
      <c r="C90" s="107" t="str">
        <f>Processes!E72</f>
        <v>Export technology - Hydrogen</v>
      </c>
      <c r="D90" s="265" t="str">
        <f>RIGHT(B90,2)</f>
        <v>H2</v>
      </c>
      <c r="E90" s="265"/>
      <c r="F90" s="108" t="str">
        <f t="shared" si="24"/>
        <v>MKr14</v>
      </c>
      <c r="G90" s="575">
        <f>G67</f>
        <v>42.18</v>
      </c>
      <c r="H90" s="575">
        <f t="shared" ref="H90:AU90" si="38">H67</f>
        <v>43.795000000000002</v>
      </c>
      <c r="I90" s="575">
        <f t="shared" si="38"/>
        <v>52.344999999999999</v>
      </c>
      <c r="J90" s="575">
        <f t="shared" si="38"/>
        <v>51.49</v>
      </c>
      <c r="K90" s="575">
        <f t="shared" si="38"/>
        <v>43.414999999999999</v>
      </c>
      <c r="L90" s="575">
        <f t="shared" si="38"/>
        <v>41.8</v>
      </c>
      <c r="M90" s="575">
        <f t="shared" si="38"/>
        <v>34.959999999999994</v>
      </c>
      <c r="N90" s="575">
        <f t="shared" si="38"/>
        <v>35.055</v>
      </c>
      <c r="O90" s="575">
        <f t="shared" si="38"/>
        <v>50.751074212757736</v>
      </c>
      <c r="P90" s="575">
        <f t="shared" si="38"/>
        <v>32.54796067858944</v>
      </c>
      <c r="Q90" s="575">
        <f t="shared" si="38"/>
        <v>31.727957487158143</v>
      </c>
      <c r="R90" s="575">
        <f t="shared" si="38"/>
        <v>29.949025524166288</v>
      </c>
      <c r="S90" s="575">
        <f t="shared" si="38"/>
        <v>31.124421190464801</v>
      </c>
      <c r="T90" s="575">
        <f t="shared" si="38"/>
        <v>31.69930389723169</v>
      </c>
      <c r="U90" s="575">
        <f t="shared" si="38"/>
        <v>31.888767724343968</v>
      </c>
      <c r="V90" s="575">
        <f t="shared" si="38"/>
        <v>31.830779289767982</v>
      </c>
      <c r="W90" s="575">
        <f t="shared" si="38"/>
        <v>31.794257244088858</v>
      </c>
      <c r="X90" s="575">
        <f t="shared" si="38"/>
        <v>31.770799731920086</v>
      </c>
      <c r="Y90" s="575">
        <f t="shared" si="38"/>
        <v>31.750709610930787</v>
      </c>
      <c r="Z90" s="575">
        <f t="shared" si="38"/>
        <v>31.743509235621186</v>
      </c>
      <c r="AA90" s="575">
        <f t="shared" si="38"/>
        <v>31.741544979889387</v>
      </c>
      <c r="AB90" s="575">
        <f t="shared" si="38"/>
        <v>31.785326421240963</v>
      </c>
      <c r="AC90" s="575">
        <f t="shared" si="38"/>
        <v>31.829107862592537</v>
      </c>
      <c r="AD90" s="575">
        <f t="shared" si="38"/>
        <v>31.872889303944106</v>
      </c>
      <c r="AE90" s="575">
        <f t="shared" si="38"/>
        <v>31.916670745295676</v>
      </c>
      <c r="AF90" s="575">
        <f t="shared" si="38"/>
        <v>31.960452186647256</v>
      </c>
      <c r="AG90" s="575">
        <f t="shared" si="38"/>
        <v>32.004233627998829</v>
      </c>
      <c r="AH90" s="575">
        <f t="shared" si="38"/>
        <v>32.048015069350392</v>
      </c>
      <c r="AI90" s="575">
        <f t="shared" si="38"/>
        <v>32.091796510701968</v>
      </c>
      <c r="AJ90" s="575">
        <f t="shared" si="38"/>
        <v>32.135577952053531</v>
      </c>
      <c r="AK90" s="575">
        <f t="shared" si="38"/>
        <v>32.179359393405107</v>
      </c>
      <c r="AL90" s="575">
        <f t="shared" si="38"/>
        <v>32.223140834756684</v>
      </c>
      <c r="AM90" s="575">
        <f t="shared" si="38"/>
        <v>32.266922276108254</v>
      </c>
      <c r="AN90" s="575">
        <f t="shared" si="38"/>
        <v>32.310703717459816</v>
      </c>
      <c r="AO90" s="575">
        <f t="shared" si="38"/>
        <v>32.354485158811393</v>
      </c>
      <c r="AP90" s="575">
        <f t="shared" si="38"/>
        <v>32.39826660016297</v>
      </c>
      <c r="AQ90" s="575">
        <f t="shared" si="38"/>
        <v>32.442048041514546</v>
      </c>
      <c r="AR90" s="575">
        <f t="shared" si="38"/>
        <v>32.485829482866109</v>
      </c>
      <c r="AS90" s="575">
        <f t="shared" si="38"/>
        <v>32.529610924217685</v>
      </c>
      <c r="AT90" s="575">
        <f t="shared" si="38"/>
        <v>32.573392365569248</v>
      </c>
      <c r="AU90" s="575">
        <f t="shared" si="38"/>
        <v>32.617173806920832</v>
      </c>
      <c r="AV90" s="279"/>
      <c r="AW90" s="279"/>
      <c r="AX90" s="279"/>
      <c r="AY90" s="279"/>
    </row>
    <row r="91" spans="2:51" s="576" customFormat="1" ht="15">
      <c r="B91" s="107" t="str">
        <f>Processes!D73</f>
        <v>EXPAMM</v>
      </c>
      <c r="C91" s="107" t="str">
        <f>Processes!E73</f>
        <v>Export technology - Ammonia (liquid)</v>
      </c>
      <c r="D91" s="265" t="str">
        <f>RIGHT(B91,3)</f>
        <v>AMM</v>
      </c>
      <c r="E91" s="265"/>
      <c r="F91" s="108" t="str">
        <f t="shared" si="24"/>
        <v>MKr19</v>
      </c>
      <c r="G91" s="575">
        <f>G75</f>
        <v>64.790000000000006</v>
      </c>
      <c r="H91" s="575">
        <f t="shared" ref="H91:AU91" si="39">H75</f>
        <v>96.899999999999991</v>
      </c>
      <c r="I91" s="575">
        <f t="shared" si="39"/>
        <v>91.39</v>
      </c>
      <c r="J91" s="575">
        <f t="shared" si="39"/>
        <v>87.114999999999995</v>
      </c>
      <c r="K91" s="575">
        <f t="shared" si="39"/>
        <v>79.8</v>
      </c>
      <c r="L91" s="575">
        <f t="shared" si="39"/>
        <v>45.125</v>
      </c>
      <c r="M91" s="575">
        <f t="shared" si="39"/>
        <v>42.274999999999999</v>
      </c>
      <c r="N91" s="575">
        <f t="shared" si="39"/>
        <v>46.265000000000001</v>
      </c>
      <c r="O91" s="575">
        <f t="shared" si="39"/>
        <v>64.34838436678902</v>
      </c>
      <c r="P91" s="575">
        <f t="shared" si="39"/>
        <v>58.729977796500442</v>
      </c>
      <c r="Q91" s="575">
        <f t="shared" si="39"/>
        <v>57.324036194021168</v>
      </c>
      <c r="R91" s="575">
        <f t="shared" si="39"/>
        <v>36.43915505322596</v>
      </c>
      <c r="S91" s="575">
        <f t="shared" si="39"/>
        <v>39.677228980394787</v>
      </c>
      <c r="T91" s="575">
        <f t="shared" si="39"/>
        <v>41.884158680792353</v>
      </c>
      <c r="U91" s="575">
        <f t="shared" si="39"/>
        <v>43.497457368509231</v>
      </c>
      <c r="V91" s="575">
        <f t="shared" si="39"/>
        <v>44.672111303711013</v>
      </c>
      <c r="W91" s="575">
        <f t="shared" si="39"/>
        <v>45.969301475104693</v>
      </c>
      <c r="X91" s="575">
        <f t="shared" si="39"/>
        <v>47.240533303607087</v>
      </c>
      <c r="Y91" s="575">
        <f t="shared" si="39"/>
        <v>48.410098535795242</v>
      </c>
      <c r="Z91" s="575">
        <f t="shared" si="39"/>
        <v>49.638212828381661</v>
      </c>
      <c r="AA91" s="575">
        <f t="shared" si="39"/>
        <v>50.80024323427223</v>
      </c>
      <c r="AB91" s="575">
        <f t="shared" si="39"/>
        <v>50.509406660179529</v>
      </c>
      <c r="AC91" s="575">
        <f t="shared" si="39"/>
        <v>50.2178745110051</v>
      </c>
      <c r="AD91" s="575">
        <f t="shared" si="39"/>
        <v>49.927546048664425</v>
      </c>
      <c r="AE91" s="575">
        <f t="shared" si="39"/>
        <v>49.636488368901652</v>
      </c>
      <c r="AF91" s="575">
        <f t="shared" si="39"/>
        <v>49.345522550780437</v>
      </c>
      <c r="AG91" s="575">
        <f t="shared" si="39"/>
        <v>49.05367714791646</v>
      </c>
      <c r="AH91" s="575">
        <f t="shared" si="39"/>
        <v>48.762860195214053</v>
      </c>
      <c r="AI91" s="575">
        <f t="shared" si="39"/>
        <v>48.47134929011164</v>
      </c>
      <c r="AJ91" s="575">
        <f t="shared" si="39"/>
        <v>48.180720780761035</v>
      </c>
      <c r="AK91" s="575">
        <f t="shared" si="39"/>
        <v>47.88980548844318</v>
      </c>
      <c r="AL91" s="575">
        <f t="shared" si="39"/>
        <v>47.598890675233669</v>
      </c>
      <c r="AM91" s="575">
        <f t="shared" si="39"/>
        <v>47.310978165240549</v>
      </c>
      <c r="AN91" s="575">
        <f t="shared" si="39"/>
        <v>47.023071110579053</v>
      </c>
      <c r="AO91" s="575">
        <f t="shared" si="39"/>
        <v>46.735169518224204</v>
      </c>
      <c r="AP91" s="575">
        <f t="shared" si="39"/>
        <v>46.447273395159883</v>
      </c>
      <c r="AQ91" s="575">
        <f t="shared" si="39"/>
        <v>46.15938274837896</v>
      </c>
      <c r="AR91" s="575">
        <f t="shared" si="39"/>
        <v>45.871497584883187</v>
      </c>
      <c r="AS91" s="575">
        <f t="shared" si="39"/>
        <v>45.583617911683326</v>
      </c>
      <c r="AT91" s="575">
        <f t="shared" si="39"/>
        <v>45.295743735799064</v>
      </c>
      <c r="AU91" s="575">
        <f t="shared" si="39"/>
        <v>45.007875064259089</v>
      </c>
      <c r="AV91" s="279"/>
      <c r="AW91" s="279"/>
      <c r="AX91" s="279"/>
      <c r="AY91" s="279"/>
    </row>
    <row r="92" spans="2:51" ht="15">
      <c r="B92" s="10" t="str">
        <f>Processes!D78</f>
        <v>IMPCRN</v>
      </c>
      <c r="C92" s="10" t="str">
        <f>Processes!E78</f>
        <v>Import technology - Corn</v>
      </c>
      <c r="E92" s="263" t="str">
        <f>Commodities!D46</f>
        <v>CRN</v>
      </c>
      <c r="F92" s="108" t="str">
        <f t="shared" ref="F92:F104" si="40">VLOOKUP(E92,$E$113:$F$166,2,FALSE)</f>
        <v>MKr14</v>
      </c>
      <c r="G92" s="575">
        <f>IFERROR(INDEX($G$113:$AU$169,MATCH($E92,$E$113:$E$169,0),MATCH(G$23,$G$112:$AU$112,0)),0)</f>
        <v>72.400000000000006</v>
      </c>
      <c r="H92" s="575">
        <f t="shared" ref="H92:AU96" si="41">IFERROR(INDEX($G$113:$AU$169,MATCH($E92,$E$113:$E$169,0),MATCH(H$23,$G$112:$AU$112,0)),0)</f>
        <v>72.400000000000006</v>
      </c>
      <c r="I92" s="575">
        <f t="shared" si="41"/>
        <v>72.400000000000006</v>
      </c>
      <c r="J92" s="575">
        <f t="shared" si="41"/>
        <v>72.400000000000006</v>
      </c>
      <c r="K92" s="575">
        <f t="shared" si="41"/>
        <v>72.400000000000006</v>
      </c>
      <c r="L92" s="575">
        <f t="shared" si="41"/>
        <v>72.400000000000006</v>
      </c>
      <c r="M92" s="575">
        <f t="shared" si="41"/>
        <v>72.400000000000006</v>
      </c>
      <c r="N92" s="575">
        <f t="shared" si="41"/>
        <v>72.400000000000006</v>
      </c>
      <c r="O92" s="575">
        <f t="shared" si="41"/>
        <v>72.400000000000006</v>
      </c>
      <c r="P92" s="575">
        <f t="shared" si="41"/>
        <v>72.400000000000006</v>
      </c>
      <c r="Q92" s="575">
        <f t="shared" si="41"/>
        <v>72.400000000000006</v>
      </c>
      <c r="R92" s="575">
        <f t="shared" si="41"/>
        <v>72.400000000000006</v>
      </c>
      <c r="S92" s="575">
        <f t="shared" si="41"/>
        <v>72.400000000000006</v>
      </c>
      <c r="T92" s="575">
        <f t="shared" si="41"/>
        <v>72.400000000000006</v>
      </c>
      <c r="U92" s="575">
        <f t="shared" si="41"/>
        <v>72.400000000000006</v>
      </c>
      <c r="V92" s="575">
        <f t="shared" si="41"/>
        <v>72.400000000000006</v>
      </c>
      <c r="W92" s="575">
        <f t="shared" si="41"/>
        <v>72.400000000000006</v>
      </c>
      <c r="X92" s="575">
        <f t="shared" si="41"/>
        <v>72.400000000000006</v>
      </c>
      <c r="Y92" s="575">
        <f t="shared" si="41"/>
        <v>72.400000000000006</v>
      </c>
      <c r="Z92" s="575">
        <f t="shared" si="41"/>
        <v>72.400000000000006</v>
      </c>
      <c r="AA92" s="575">
        <f t="shared" si="41"/>
        <v>72.400000000000006</v>
      </c>
      <c r="AB92" s="575">
        <f t="shared" si="41"/>
        <v>72.400000000000006</v>
      </c>
      <c r="AC92" s="575">
        <f t="shared" si="41"/>
        <v>72.400000000000006</v>
      </c>
      <c r="AD92" s="575">
        <f t="shared" si="41"/>
        <v>72.400000000000006</v>
      </c>
      <c r="AE92" s="575">
        <f t="shared" si="41"/>
        <v>72.400000000000006</v>
      </c>
      <c r="AF92" s="575">
        <f t="shared" si="41"/>
        <v>72.400000000000006</v>
      </c>
      <c r="AG92" s="575">
        <f t="shared" si="41"/>
        <v>72.400000000000006</v>
      </c>
      <c r="AH92" s="575">
        <f t="shared" si="41"/>
        <v>72.400000000000006</v>
      </c>
      <c r="AI92" s="575">
        <f t="shared" si="41"/>
        <v>72.400000000000006</v>
      </c>
      <c r="AJ92" s="575">
        <f t="shared" si="41"/>
        <v>72.400000000000006</v>
      </c>
      <c r="AK92" s="575">
        <f t="shared" si="41"/>
        <v>72.400000000000006</v>
      </c>
      <c r="AL92" s="575">
        <f t="shared" si="41"/>
        <v>72.400000000000006</v>
      </c>
      <c r="AM92" s="575">
        <f t="shared" si="41"/>
        <v>72.400000000000006</v>
      </c>
      <c r="AN92" s="575">
        <f t="shared" si="41"/>
        <v>72.400000000000006</v>
      </c>
      <c r="AO92" s="575">
        <f t="shared" si="41"/>
        <v>72.400000000000006</v>
      </c>
      <c r="AP92" s="575">
        <f t="shared" si="41"/>
        <v>72.400000000000006</v>
      </c>
      <c r="AQ92" s="575">
        <f t="shared" si="41"/>
        <v>72.400000000000006</v>
      </c>
      <c r="AR92" s="575">
        <f t="shared" si="41"/>
        <v>72.400000000000006</v>
      </c>
      <c r="AS92" s="575">
        <f t="shared" si="41"/>
        <v>72.400000000000006</v>
      </c>
      <c r="AT92" s="575">
        <f t="shared" si="41"/>
        <v>72.400000000000006</v>
      </c>
      <c r="AU92" s="575">
        <f t="shared" si="41"/>
        <v>72.400000000000006</v>
      </c>
      <c r="AV92" s="248"/>
      <c r="AW92" s="248"/>
      <c r="AX92" s="248"/>
      <c r="AY92" s="248"/>
    </row>
    <row r="93" spans="2:51" ht="15">
      <c r="B93" s="10" t="str">
        <f>Processes!D79</f>
        <v>IMPRPS</v>
      </c>
      <c r="C93" s="10" t="str">
        <f>Processes!E79</f>
        <v>Import technology - Rapeseed</v>
      </c>
      <c r="E93" s="263" t="str">
        <f>Commodities!D47</f>
        <v>RPS</v>
      </c>
      <c r="F93" s="108" t="str">
        <f t="shared" si="40"/>
        <v>MKr14</v>
      </c>
      <c r="G93" s="575">
        <f>IFERROR(INDEX($G$113:$AU$169,MATCH($E93,$E$113:$E$169,0),MATCH(G$23,$G$112:$AU$112,0)),0)</f>
        <v>101.7</v>
      </c>
      <c r="H93" s="575">
        <f t="shared" si="41"/>
        <v>101.7</v>
      </c>
      <c r="I93" s="575">
        <f t="shared" si="41"/>
        <v>101.7</v>
      </c>
      <c r="J93" s="575">
        <f t="shared" si="41"/>
        <v>101.7</v>
      </c>
      <c r="K93" s="575">
        <f t="shared" si="41"/>
        <v>101.7</v>
      </c>
      <c r="L93" s="575">
        <f t="shared" si="41"/>
        <v>101.7</v>
      </c>
      <c r="M93" s="575">
        <f t="shared" si="41"/>
        <v>101.7</v>
      </c>
      <c r="N93" s="575">
        <f t="shared" si="41"/>
        <v>101.7</v>
      </c>
      <c r="O93" s="575">
        <f t="shared" si="41"/>
        <v>101.7</v>
      </c>
      <c r="P93" s="575">
        <f t="shared" si="41"/>
        <v>101.7</v>
      </c>
      <c r="Q93" s="575">
        <f t="shared" si="41"/>
        <v>101.7</v>
      </c>
      <c r="R93" s="575">
        <f t="shared" si="41"/>
        <v>101.7</v>
      </c>
      <c r="S93" s="575">
        <f t="shared" si="41"/>
        <v>101.7</v>
      </c>
      <c r="T93" s="575">
        <f t="shared" si="41"/>
        <v>101.7</v>
      </c>
      <c r="U93" s="575">
        <f t="shared" si="41"/>
        <v>101.7</v>
      </c>
      <c r="V93" s="575">
        <f t="shared" si="41"/>
        <v>101.7</v>
      </c>
      <c r="W93" s="575">
        <f t="shared" si="41"/>
        <v>101.7</v>
      </c>
      <c r="X93" s="575">
        <f t="shared" si="41"/>
        <v>101.7</v>
      </c>
      <c r="Y93" s="575">
        <f t="shared" si="41"/>
        <v>101.7</v>
      </c>
      <c r="Z93" s="575">
        <f t="shared" si="41"/>
        <v>101.7</v>
      </c>
      <c r="AA93" s="575">
        <f t="shared" si="41"/>
        <v>101.7</v>
      </c>
      <c r="AB93" s="575">
        <f t="shared" si="41"/>
        <v>101.7</v>
      </c>
      <c r="AC93" s="575">
        <f t="shared" si="41"/>
        <v>101.7</v>
      </c>
      <c r="AD93" s="575">
        <f t="shared" si="41"/>
        <v>101.7</v>
      </c>
      <c r="AE93" s="575">
        <f t="shared" si="41"/>
        <v>101.7</v>
      </c>
      <c r="AF93" s="575">
        <f t="shared" si="41"/>
        <v>101.7</v>
      </c>
      <c r="AG93" s="575">
        <f t="shared" si="41"/>
        <v>101.7</v>
      </c>
      <c r="AH93" s="575">
        <f t="shared" si="41"/>
        <v>101.7</v>
      </c>
      <c r="AI93" s="575">
        <f t="shared" si="41"/>
        <v>101.7</v>
      </c>
      <c r="AJ93" s="575">
        <f t="shared" si="41"/>
        <v>101.7</v>
      </c>
      <c r="AK93" s="575">
        <f t="shared" si="41"/>
        <v>101.7</v>
      </c>
      <c r="AL93" s="575">
        <f t="shared" si="41"/>
        <v>101.7</v>
      </c>
      <c r="AM93" s="575">
        <f t="shared" si="41"/>
        <v>101.7</v>
      </c>
      <c r="AN93" s="575">
        <f t="shared" si="41"/>
        <v>101.7</v>
      </c>
      <c r="AO93" s="575">
        <f t="shared" si="41"/>
        <v>101.7</v>
      </c>
      <c r="AP93" s="575">
        <f t="shared" si="41"/>
        <v>101.7</v>
      </c>
      <c r="AQ93" s="575">
        <f t="shared" si="41"/>
        <v>101.7</v>
      </c>
      <c r="AR93" s="575">
        <f t="shared" si="41"/>
        <v>101.7</v>
      </c>
      <c r="AS93" s="575">
        <f t="shared" si="41"/>
        <v>101.7</v>
      </c>
      <c r="AT93" s="575">
        <f t="shared" si="41"/>
        <v>101.7</v>
      </c>
      <c r="AU93" s="575">
        <f t="shared" si="41"/>
        <v>101.7</v>
      </c>
      <c r="AV93" s="248"/>
      <c r="AW93" s="248"/>
      <c r="AX93" s="248"/>
      <c r="AY93" s="248"/>
    </row>
    <row r="94" spans="2:51" ht="15">
      <c r="B94" s="10" t="str">
        <f>Processes!D80</f>
        <v>IMPSGB</v>
      </c>
      <c r="C94" s="10" t="str">
        <f>Processes!E80</f>
        <v>Import technology - Sugar Beet</v>
      </c>
      <c r="E94" s="263" t="str">
        <f>Commodities!D48</f>
        <v>SGB</v>
      </c>
      <c r="F94" s="108" t="str">
        <f t="shared" si="40"/>
        <v>MKr14</v>
      </c>
      <c r="G94" s="575">
        <f>IFERROR(INDEX($G$113:$AU$169,MATCH($E94,$E$113:$E$169,0),MATCH(G$23,$G$112:$AU$112,0)),0)</f>
        <v>10.6</v>
      </c>
      <c r="H94" s="575">
        <f t="shared" si="41"/>
        <v>10.6</v>
      </c>
      <c r="I94" s="575">
        <f t="shared" si="41"/>
        <v>10.6</v>
      </c>
      <c r="J94" s="575">
        <f t="shared" si="41"/>
        <v>10.6</v>
      </c>
      <c r="K94" s="575">
        <f t="shared" si="41"/>
        <v>10.6</v>
      </c>
      <c r="L94" s="575">
        <f t="shared" si="41"/>
        <v>10.6</v>
      </c>
      <c r="M94" s="575">
        <f t="shared" si="41"/>
        <v>10.6</v>
      </c>
      <c r="N94" s="575">
        <f t="shared" si="41"/>
        <v>10.6</v>
      </c>
      <c r="O94" s="575">
        <f t="shared" si="41"/>
        <v>10.6</v>
      </c>
      <c r="P94" s="575">
        <f t="shared" si="41"/>
        <v>10.6</v>
      </c>
      <c r="Q94" s="575">
        <f t="shared" si="41"/>
        <v>10.6</v>
      </c>
      <c r="R94" s="575">
        <f t="shared" si="41"/>
        <v>10.6</v>
      </c>
      <c r="S94" s="575">
        <f t="shared" si="41"/>
        <v>10.6</v>
      </c>
      <c r="T94" s="575">
        <f t="shared" si="41"/>
        <v>10.6</v>
      </c>
      <c r="U94" s="575">
        <f t="shared" si="41"/>
        <v>10.6</v>
      </c>
      <c r="V94" s="575">
        <f t="shared" si="41"/>
        <v>10.6</v>
      </c>
      <c r="W94" s="575">
        <f t="shared" si="41"/>
        <v>10.6</v>
      </c>
      <c r="X94" s="575">
        <f t="shared" si="41"/>
        <v>10.6</v>
      </c>
      <c r="Y94" s="575">
        <f t="shared" si="41"/>
        <v>10.6</v>
      </c>
      <c r="Z94" s="575">
        <f t="shared" si="41"/>
        <v>10.6</v>
      </c>
      <c r="AA94" s="575">
        <f t="shared" si="41"/>
        <v>10.6</v>
      </c>
      <c r="AB94" s="575">
        <f t="shared" si="41"/>
        <v>10.6</v>
      </c>
      <c r="AC94" s="575">
        <f t="shared" si="41"/>
        <v>10.6</v>
      </c>
      <c r="AD94" s="575">
        <f t="shared" si="41"/>
        <v>10.6</v>
      </c>
      <c r="AE94" s="575">
        <f t="shared" si="41"/>
        <v>10.6</v>
      </c>
      <c r="AF94" s="575">
        <f t="shared" si="41"/>
        <v>10.6</v>
      </c>
      <c r="AG94" s="575">
        <f t="shared" si="41"/>
        <v>10.6</v>
      </c>
      <c r="AH94" s="575">
        <f t="shared" si="41"/>
        <v>10.6</v>
      </c>
      <c r="AI94" s="575">
        <f t="shared" si="41"/>
        <v>10.6</v>
      </c>
      <c r="AJ94" s="575">
        <f t="shared" si="41"/>
        <v>10.6</v>
      </c>
      <c r="AK94" s="575">
        <f t="shared" si="41"/>
        <v>10.6</v>
      </c>
      <c r="AL94" s="575">
        <f t="shared" si="41"/>
        <v>10.6</v>
      </c>
      <c r="AM94" s="575">
        <f t="shared" si="41"/>
        <v>10.6</v>
      </c>
      <c r="AN94" s="575">
        <f t="shared" si="41"/>
        <v>10.6</v>
      </c>
      <c r="AO94" s="575">
        <f t="shared" si="41"/>
        <v>10.6</v>
      </c>
      <c r="AP94" s="575">
        <f t="shared" si="41"/>
        <v>10.6</v>
      </c>
      <c r="AQ94" s="575">
        <f t="shared" si="41"/>
        <v>10.6</v>
      </c>
      <c r="AR94" s="575">
        <f t="shared" si="41"/>
        <v>10.6</v>
      </c>
      <c r="AS94" s="575">
        <f t="shared" si="41"/>
        <v>10.6</v>
      </c>
      <c r="AT94" s="575">
        <f t="shared" si="41"/>
        <v>10.6</v>
      </c>
      <c r="AU94" s="575">
        <f t="shared" si="41"/>
        <v>10.6</v>
      </c>
      <c r="AV94" s="248"/>
      <c r="AW94" s="248"/>
      <c r="AX94" s="248"/>
      <c r="AY94" s="248"/>
    </row>
    <row r="95" spans="2:51" ht="15">
      <c r="B95" s="10" t="str">
        <f>Processes!D81</f>
        <v>IMPMOB1</v>
      </c>
      <c r="C95" s="10" t="str">
        <f>Processes!E81</f>
        <v>Import technology - Bio Methanol G1</v>
      </c>
      <c r="E95" s="263" t="str">
        <f>Commodities!D49</f>
        <v>MOB1</v>
      </c>
      <c r="F95" s="108" t="str">
        <f t="shared" si="40"/>
        <v>MKr14</v>
      </c>
      <c r="G95" s="575">
        <f>IFERROR(INDEX($G$113:$AU$169,MATCH($E95,$E$113:$E$169,0),MATCH(G$23,$G$112:$AU$112,0)),0)</f>
        <v>207.6</v>
      </c>
      <c r="H95" s="575">
        <f t="shared" si="41"/>
        <v>207.6</v>
      </c>
      <c r="I95" s="575">
        <f t="shared" si="41"/>
        <v>207.6</v>
      </c>
      <c r="J95" s="575">
        <f t="shared" si="41"/>
        <v>207.6</v>
      </c>
      <c r="K95" s="575">
        <f t="shared" si="41"/>
        <v>207.6</v>
      </c>
      <c r="L95" s="575">
        <f t="shared" si="41"/>
        <v>207.6</v>
      </c>
      <c r="M95" s="575">
        <f t="shared" si="41"/>
        <v>207.6</v>
      </c>
      <c r="N95" s="575">
        <f t="shared" si="41"/>
        <v>207.6</v>
      </c>
      <c r="O95" s="575">
        <f t="shared" si="41"/>
        <v>207.6</v>
      </c>
      <c r="P95" s="575">
        <f t="shared" si="41"/>
        <v>207.6</v>
      </c>
      <c r="Q95" s="575">
        <f t="shared" si="41"/>
        <v>207.6</v>
      </c>
      <c r="R95" s="575">
        <f t="shared" si="41"/>
        <v>207.6</v>
      </c>
      <c r="S95" s="575">
        <f t="shared" si="41"/>
        <v>207.6</v>
      </c>
      <c r="T95" s="575">
        <f t="shared" si="41"/>
        <v>207.6</v>
      </c>
      <c r="U95" s="575">
        <f t="shared" si="41"/>
        <v>207.6</v>
      </c>
      <c r="V95" s="575">
        <f t="shared" si="41"/>
        <v>207.6</v>
      </c>
      <c r="W95" s="575">
        <f t="shared" si="41"/>
        <v>207.6</v>
      </c>
      <c r="X95" s="575">
        <f t="shared" si="41"/>
        <v>207.6</v>
      </c>
      <c r="Y95" s="575">
        <f t="shared" si="41"/>
        <v>207.6</v>
      </c>
      <c r="Z95" s="575">
        <f t="shared" si="41"/>
        <v>207.6</v>
      </c>
      <c r="AA95" s="575">
        <f t="shared" si="41"/>
        <v>207.6</v>
      </c>
      <c r="AB95" s="575">
        <f t="shared" si="41"/>
        <v>207.6</v>
      </c>
      <c r="AC95" s="575">
        <f t="shared" si="41"/>
        <v>207.6</v>
      </c>
      <c r="AD95" s="575">
        <f t="shared" si="41"/>
        <v>207.6</v>
      </c>
      <c r="AE95" s="575">
        <f t="shared" si="41"/>
        <v>207.6</v>
      </c>
      <c r="AF95" s="575">
        <f t="shared" si="41"/>
        <v>207.6</v>
      </c>
      <c r="AG95" s="575">
        <f t="shared" si="41"/>
        <v>207.6</v>
      </c>
      <c r="AH95" s="575">
        <f t="shared" si="41"/>
        <v>207.6</v>
      </c>
      <c r="AI95" s="575">
        <f t="shared" si="41"/>
        <v>207.6</v>
      </c>
      <c r="AJ95" s="575">
        <f t="shared" si="41"/>
        <v>207.6</v>
      </c>
      <c r="AK95" s="575">
        <f t="shared" si="41"/>
        <v>207.6</v>
      </c>
      <c r="AL95" s="575">
        <f t="shared" si="41"/>
        <v>207.6</v>
      </c>
      <c r="AM95" s="575">
        <f t="shared" si="41"/>
        <v>207.6</v>
      </c>
      <c r="AN95" s="575">
        <f t="shared" si="41"/>
        <v>207.6</v>
      </c>
      <c r="AO95" s="575">
        <f t="shared" si="41"/>
        <v>207.6</v>
      </c>
      <c r="AP95" s="575">
        <f t="shared" si="41"/>
        <v>207.6</v>
      </c>
      <c r="AQ95" s="575">
        <f t="shared" si="41"/>
        <v>207.6</v>
      </c>
      <c r="AR95" s="575">
        <f t="shared" si="41"/>
        <v>207.6</v>
      </c>
      <c r="AS95" s="575">
        <f t="shared" si="41"/>
        <v>207.6</v>
      </c>
      <c r="AT95" s="575">
        <f t="shared" si="41"/>
        <v>207.6</v>
      </c>
      <c r="AU95" s="575">
        <f t="shared" si="41"/>
        <v>207.6</v>
      </c>
      <c r="AV95" s="248"/>
      <c r="AW95" s="248"/>
      <c r="AX95" s="248"/>
      <c r="AY95" s="248"/>
    </row>
    <row r="96" spans="2:51" ht="15">
      <c r="B96" s="10" t="str">
        <f>Processes!D82</f>
        <v>IMPMOB2</v>
      </c>
      <c r="C96" s="10" t="str">
        <f>Processes!E82</f>
        <v>Import technology - Bio Methanol G2</v>
      </c>
      <c r="E96" s="263" t="str">
        <f>Commodities!D50</f>
        <v>MOB2</v>
      </c>
      <c r="F96" s="108" t="str">
        <f t="shared" si="40"/>
        <v>MKr14</v>
      </c>
      <c r="G96" s="575">
        <f>IFERROR(INDEX($G$113:$AU$169,MATCH($E96,$E$113:$E$169,0),MATCH(G$23,$G$112:$AU$112,0)),0)</f>
        <v>207.6</v>
      </c>
      <c r="H96" s="575">
        <f t="shared" si="41"/>
        <v>207.6</v>
      </c>
      <c r="I96" s="575">
        <f t="shared" si="41"/>
        <v>207.6</v>
      </c>
      <c r="J96" s="575">
        <f t="shared" si="41"/>
        <v>207.6</v>
      </c>
      <c r="K96" s="575">
        <f t="shared" si="41"/>
        <v>207.6</v>
      </c>
      <c r="L96" s="575">
        <f t="shared" si="41"/>
        <v>207.6</v>
      </c>
      <c r="M96" s="575">
        <f t="shared" si="41"/>
        <v>207.6</v>
      </c>
      <c r="N96" s="575">
        <f t="shared" si="41"/>
        <v>207.6</v>
      </c>
      <c r="O96" s="575">
        <f t="shared" si="41"/>
        <v>207.6</v>
      </c>
      <c r="P96" s="575">
        <f t="shared" si="41"/>
        <v>207.6</v>
      </c>
      <c r="Q96" s="575">
        <f t="shared" si="41"/>
        <v>207.6</v>
      </c>
      <c r="R96" s="575">
        <f t="shared" si="41"/>
        <v>207.6</v>
      </c>
      <c r="S96" s="575">
        <f t="shared" si="41"/>
        <v>207.6</v>
      </c>
      <c r="T96" s="575">
        <f t="shared" si="41"/>
        <v>207.6</v>
      </c>
      <c r="U96" s="575">
        <f t="shared" si="41"/>
        <v>207.6</v>
      </c>
      <c r="V96" s="575">
        <f t="shared" si="41"/>
        <v>207.6</v>
      </c>
      <c r="W96" s="575">
        <f t="shared" si="41"/>
        <v>207.6</v>
      </c>
      <c r="X96" s="575">
        <f t="shared" si="41"/>
        <v>207.6</v>
      </c>
      <c r="Y96" s="575">
        <f t="shared" si="41"/>
        <v>207.6</v>
      </c>
      <c r="Z96" s="575">
        <f t="shared" si="41"/>
        <v>207.6</v>
      </c>
      <c r="AA96" s="575">
        <f t="shared" si="41"/>
        <v>207.6</v>
      </c>
      <c r="AB96" s="575">
        <f t="shared" si="41"/>
        <v>207.6</v>
      </c>
      <c r="AC96" s="575">
        <f t="shared" si="41"/>
        <v>207.6</v>
      </c>
      <c r="AD96" s="575">
        <f t="shared" si="41"/>
        <v>207.6</v>
      </c>
      <c r="AE96" s="575">
        <f t="shared" si="41"/>
        <v>207.6</v>
      </c>
      <c r="AF96" s="575">
        <f t="shared" si="41"/>
        <v>207.6</v>
      </c>
      <c r="AG96" s="575">
        <f t="shared" si="41"/>
        <v>207.6</v>
      </c>
      <c r="AH96" s="575">
        <f t="shared" si="41"/>
        <v>207.6</v>
      </c>
      <c r="AI96" s="575">
        <f t="shared" si="41"/>
        <v>207.6</v>
      </c>
      <c r="AJ96" s="575">
        <f t="shared" si="41"/>
        <v>207.6</v>
      </c>
      <c r="AK96" s="575">
        <f t="shared" si="41"/>
        <v>207.6</v>
      </c>
      <c r="AL96" s="575">
        <f t="shared" si="41"/>
        <v>207.6</v>
      </c>
      <c r="AM96" s="575">
        <f t="shared" si="41"/>
        <v>207.6</v>
      </c>
      <c r="AN96" s="575">
        <f t="shared" si="41"/>
        <v>207.6</v>
      </c>
      <c r="AO96" s="575">
        <f t="shared" si="41"/>
        <v>207.6</v>
      </c>
      <c r="AP96" s="575">
        <f t="shared" si="41"/>
        <v>207.6</v>
      </c>
      <c r="AQ96" s="575">
        <f t="shared" si="41"/>
        <v>207.6</v>
      </c>
      <c r="AR96" s="575">
        <f t="shared" si="41"/>
        <v>207.6</v>
      </c>
      <c r="AS96" s="575">
        <f t="shared" si="41"/>
        <v>207.6</v>
      </c>
      <c r="AT96" s="575">
        <f t="shared" si="41"/>
        <v>207.6</v>
      </c>
      <c r="AU96" s="575">
        <f t="shared" si="41"/>
        <v>207.6</v>
      </c>
      <c r="AV96" s="248"/>
      <c r="AW96" s="248"/>
      <c r="AX96" s="248"/>
      <c r="AY96" s="248"/>
    </row>
    <row r="97" spans="2:51" ht="15">
      <c r="B97" s="10" t="str">
        <f>Processes!D83</f>
        <v>EXPDDGS</v>
      </c>
      <c r="C97" s="10" t="str">
        <f>Processes!E83</f>
        <v>Export technology - Ethanol</v>
      </c>
      <c r="D97" s="263" t="str">
        <f>Commodities!D52</f>
        <v>DDGS</v>
      </c>
      <c r="F97" s="108" t="str">
        <f t="shared" ref="F97:F101" si="42">VLOOKUP(D97,$E$113:$F$166,2,FALSE)</f>
        <v>MKr14</v>
      </c>
      <c r="G97" s="575">
        <f t="shared" ref="G97:P98" si="43">IFERROR(INDEX($G$113:$AU$169,MATCH($D97,$E$113:$E$169,0),MATCH(G$23,$G$112:$AU$112,0)),0)*$E$182</f>
        <v>9.5</v>
      </c>
      <c r="H97" s="575">
        <f t="shared" si="43"/>
        <v>9.5</v>
      </c>
      <c r="I97" s="575">
        <f t="shared" si="43"/>
        <v>9.5</v>
      </c>
      <c r="J97" s="575">
        <f t="shared" si="43"/>
        <v>9.5</v>
      </c>
      <c r="K97" s="575">
        <f t="shared" si="43"/>
        <v>9.5</v>
      </c>
      <c r="L97" s="575">
        <f t="shared" si="43"/>
        <v>9.5</v>
      </c>
      <c r="M97" s="575">
        <f t="shared" si="43"/>
        <v>9.5</v>
      </c>
      <c r="N97" s="575">
        <f t="shared" si="43"/>
        <v>9.5</v>
      </c>
      <c r="O97" s="575">
        <f t="shared" si="43"/>
        <v>9.5</v>
      </c>
      <c r="P97" s="575">
        <f t="shared" si="43"/>
        <v>9.5</v>
      </c>
      <c r="Q97" s="575">
        <f t="shared" ref="Q97:Z98" si="44">IFERROR(INDEX($G$113:$AU$169,MATCH($D97,$E$113:$E$169,0),MATCH(Q$23,$G$112:$AU$112,0)),0)*$E$182</f>
        <v>9.5</v>
      </c>
      <c r="R97" s="575">
        <f t="shared" si="44"/>
        <v>9.5</v>
      </c>
      <c r="S97" s="575">
        <f t="shared" si="44"/>
        <v>9.5</v>
      </c>
      <c r="T97" s="575">
        <f t="shared" si="44"/>
        <v>9.5</v>
      </c>
      <c r="U97" s="575">
        <f t="shared" si="44"/>
        <v>9.5</v>
      </c>
      <c r="V97" s="575">
        <f t="shared" si="44"/>
        <v>9.5</v>
      </c>
      <c r="W97" s="575">
        <f t="shared" si="44"/>
        <v>9.5</v>
      </c>
      <c r="X97" s="575">
        <f t="shared" si="44"/>
        <v>9.5</v>
      </c>
      <c r="Y97" s="575">
        <f t="shared" si="44"/>
        <v>9.5</v>
      </c>
      <c r="Z97" s="575">
        <f t="shared" si="44"/>
        <v>9.5</v>
      </c>
      <c r="AA97" s="575">
        <f t="shared" ref="AA97:AJ98" si="45">IFERROR(INDEX($G$113:$AU$169,MATCH($D97,$E$113:$E$169,0),MATCH(AA$23,$G$112:$AU$112,0)),0)*$E$182</f>
        <v>9.5</v>
      </c>
      <c r="AB97" s="575">
        <f t="shared" si="45"/>
        <v>9.5</v>
      </c>
      <c r="AC97" s="575">
        <f t="shared" si="45"/>
        <v>9.5</v>
      </c>
      <c r="AD97" s="575">
        <f t="shared" si="45"/>
        <v>9.5</v>
      </c>
      <c r="AE97" s="575">
        <f t="shared" si="45"/>
        <v>9.5</v>
      </c>
      <c r="AF97" s="575">
        <f t="shared" si="45"/>
        <v>9.5</v>
      </c>
      <c r="AG97" s="575">
        <f t="shared" si="45"/>
        <v>9.5</v>
      </c>
      <c r="AH97" s="575">
        <f t="shared" si="45"/>
        <v>9.5</v>
      </c>
      <c r="AI97" s="575">
        <f t="shared" si="45"/>
        <v>9.5</v>
      </c>
      <c r="AJ97" s="575">
        <f t="shared" si="45"/>
        <v>9.5</v>
      </c>
      <c r="AK97" s="575">
        <f t="shared" ref="AK97:AU98" si="46">IFERROR(INDEX($G$113:$AU$169,MATCH($D97,$E$113:$E$169,0),MATCH(AK$23,$G$112:$AU$112,0)),0)*$E$182</f>
        <v>9.5</v>
      </c>
      <c r="AL97" s="575">
        <f t="shared" si="46"/>
        <v>9.5</v>
      </c>
      <c r="AM97" s="575">
        <f t="shared" si="46"/>
        <v>9.5</v>
      </c>
      <c r="AN97" s="575">
        <f t="shared" si="46"/>
        <v>9.5</v>
      </c>
      <c r="AO97" s="575">
        <f t="shared" si="46"/>
        <v>9.5</v>
      </c>
      <c r="AP97" s="575">
        <f t="shared" si="46"/>
        <v>9.5</v>
      </c>
      <c r="AQ97" s="575">
        <f t="shared" si="46"/>
        <v>9.5</v>
      </c>
      <c r="AR97" s="575">
        <f t="shared" si="46"/>
        <v>9.5</v>
      </c>
      <c r="AS97" s="575">
        <f t="shared" si="46"/>
        <v>9.5</v>
      </c>
      <c r="AT97" s="575">
        <f t="shared" si="46"/>
        <v>9.5</v>
      </c>
      <c r="AU97" s="575">
        <f t="shared" si="46"/>
        <v>9.5</v>
      </c>
      <c r="AV97" s="248"/>
      <c r="AW97" s="248"/>
      <c r="AX97" s="248"/>
      <c r="AY97" s="248"/>
    </row>
    <row r="98" spans="2:51" ht="15">
      <c r="B98" s="10" t="str">
        <f>Processes!D84</f>
        <v>EXPGLY</v>
      </c>
      <c r="C98" s="10" t="str">
        <f>Processes!E84</f>
        <v>Export technology - Glycerol</v>
      </c>
      <c r="D98" s="263" t="str">
        <f>Commodities!D53</f>
        <v>GLY</v>
      </c>
      <c r="F98" s="108" t="str">
        <f t="shared" si="42"/>
        <v>MKr14</v>
      </c>
      <c r="G98" s="575">
        <f t="shared" si="43"/>
        <v>9.5</v>
      </c>
      <c r="H98" s="575">
        <f t="shared" si="43"/>
        <v>9.5</v>
      </c>
      <c r="I98" s="575">
        <f t="shared" si="43"/>
        <v>9.5</v>
      </c>
      <c r="J98" s="575">
        <f t="shared" si="43"/>
        <v>9.5</v>
      </c>
      <c r="K98" s="575">
        <f t="shared" si="43"/>
        <v>9.5</v>
      </c>
      <c r="L98" s="575">
        <f t="shared" si="43"/>
        <v>9.5</v>
      </c>
      <c r="M98" s="575">
        <f t="shared" si="43"/>
        <v>9.5</v>
      </c>
      <c r="N98" s="575">
        <f t="shared" si="43"/>
        <v>9.5</v>
      </c>
      <c r="O98" s="575">
        <f t="shared" si="43"/>
        <v>9.5</v>
      </c>
      <c r="P98" s="575">
        <f t="shared" si="43"/>
        <v>9.5</v>
      </c>
      <c r="Q98" s="575">
        <f t="shared" si="44"/>
        <v>9.5</v>
      </c>
      <c r="R98" s="575">
        <f t="shared" si="44"/>
        <v>9.5</v>
      </c>
      <c r="S98" s="575">
        <f t="shared" si="44"/>
        <v>9.5</v>
      </c>
      <c r="T98" s="575">
        <f t="shared" si="44"/>
        <v>9.5</v>
      </c>
      <c r="U98" s="575">
        <f t="shared" si="44"/>
        <v>9.5</v>
      </c>
      <c r="V98" s="575">
        <f t="shared" si="44"/>
        <v>9.5</v>
      </c>
      <c r="W98" s="575">
        <f t="shared" si="44"/>
        <v>9.5</v>
      </c>
      <c r="X98" s="575">
        <f t="shared" si="44"/>
        <v>9.5</v>
      </c>
      <c r="Y98" s="575">
        <f t="shared" si="44"/>
        <v>9.5</v>
      </c>
      <c r="Z98" s="575">
        <f t="shared" si="44"/>
        <v>9.5</v>
      </c>
      <c r="AA98" s="575">
        <f t="shared" si="45"/>
        <v>9.5</v>
      </c>
      <c r="AB98" s="575">
        <f t="shared" si="45"/>
        <v>9.5</v>
      </c>
      <c r="AC98" s="575">
        <f t="shared" si="45"/>
        <v>9.5</v>
      </c>
      <c r="AD98" s="575">
        <f t="shared" si="45"/>
        <v>9.5</v>
      </c>
      <c r="AE98" s="575">
        <f t="shared" si="45"/>
        <v>9.5</v>
      </c>
      <c r="AF98" s="575">
        <f t="shared" si="45"/>
        <v>9.5</v>
      </c>
      <c r="AG98" s="575">
        <f t="shared" si="45"/>
        <v>9.5</v>
      </c>
      <c r="AH98" s="575">
        <f t="shared" si="45"/>
        <v>9.5</v>
      </c>
      <c r="AI98" s="575">
        <f t="shared" si="45"/>
        <v>9.5</v>
      </c>
      <c r="AJ98" s="575">
        <f t="shared" si="45"/>
        <v>9.5</v>
      </c>
      <c r="AK98" s="575">
        <f t="shared" si="46"/>
        <v>9.5</v>
      </c>
      <c r="AL98" s="575">
        <f t="shared" si="46"/>
        <v>9.5</v>
      </c>
      <c r="AM98" s="575">
        <f t="shared" si="46"/>
        <v>9.5</v>
      </c>
      <c r="AN98" s="575">
        <f t="shared" si="46"/>
        <v>9.5</v>
      </c>
      <c r="AO98" s="575">
        <f t="shared" si="46"/>
        <v>9.5</v>
      </c>
      <c r="AP98" s="575">
        <f t="shared" si="46"/>
        <v>9.5</v>
      </c>
      <c r="AQ98" s="575">
        <f t="shared" si="46"/>
        <v>9.5</v>
      </c>
      <c r="AR98" s="575">
        <f t="shared" si="46"/>
        <v>9.5</v>
      </c>
      <c r="AS98" s="575">
        <f t="shared" si="46"/>
        <v>9.5</v>
      </c>
      <c r="AT98" s="575">
        <f t="shared" si="46"/>
        <v>9.5</v>
      </c>
      <c r="AU98" s="575">
        <f t="shared" si="46"/>
        <v>9.5</v>
      </c>
    </row>
    <row r="99" spans="2:51" ht="15">
      <c r="B99" s="10" t="str">
        <f>Processes!D85</f>
        <v>EXPLNB</v>
      </c>
      <c r="C99" s="10" t="str">
        <f>Processes!E85</f>
        <v>Export technology - Bio Naphtha (Petroleoum)</v>
      </c>
      <c r="D99" s="263" t="str">
        <f>Commodities!D54</f>
        <v>LNB</v>
      </c>
      <c r="F99" s="108" t="str">
        <f t="shared" si="42"/>
        <v>MKr14</v>
      </c>
      <c r="G99" s="575">
        <f>IFERROR(INDEX($G$113:$AU$169,MATCH($D99,$E$113:$E$169,0),MATCH(G$23,$G$112:$AU$112,0)),0)*$E$184</f>
        <v>52.706099677025605</v>
      </c>
      <c r="H99" s="575">
        <f t="shared" ref="H99:AU99" si="47">IFERROR(INDEX($G$113:$AU$169,MATCH($D99,$E$113:$E$169,0),MATCH(H$23,$G$112:$AU$112,0)),0)*$E$184</f>
        <v>63.476099677025616</v>
      </c>
      <c r="I99" s="575">
        <f t="shared" si="47"/>
        <v>64.646099677025603</v>
      </c>
      <c r="J99" s="575">
        <f t="shared" si="47"/>
        <v>65.336099677025615</v>
      </c>
      <c r="K99" s="575">
        <f t="shared" si="47"/>
        <v>62.786099677025611</v>
      </c>
      <c r="L99" s="575">
        <f t="shared" si="47"/>
        <v>51.806099677025607</v>
      </c>
      <c r="M99" s="575">
        <f t="shared" si="47"/>
        <v>50.936099677025609</v>
      </c>
      <c r="N99" s="575">
        <f t="shared" si="47"/>
        <v>52.166099677025606</v>
      </c>
      <c r="O99" s="575">
        <f t="shared" si="47"/>
        <v>59.606422415442665</v>
      </c>
      <c r="P99" s="575">
        <f t="shared" si="47"/>
        <v>57.655188761667318</v>
      </c>
      <c r="Q99" s="575">
        <f t="shared" si="47"/>
        <v>57.211207202989648</v>
      </c>
      <c r="R99" s="575">
        <f t="shared" si="47"/>
        <v>50.615981579580641</v>
      </c>
      <c r="S99" s="575">
        <f t="shared" si="47"/>
        <v>51.638531240791849</v>
      </c>
      <c r="T99" s="575">
        <f t="shared" si="47"/>
        <v>52.335456409338441</v>
      </c>
      <c r="U99" s="575">
        <f t="shared" si="47"/>
        <v>52.844919152827991</v>
      </c>
      <c r="V99" s="575">
        <f t="shared" si="47"/>
        <v>53.215862500786443</v>
      </c>
      <c r="W99" s="575">
        <f t="shared" si="47"/>
        <v>53.625501502279185</v>
      </c>
      <c r="X99" s="575">
        <f t="shared" si="47"/>
        <v>54.026943132332569</v>
      </c>
      <c r="Y99" s="575">
        <f t="shared" si="47"/>
        <v>54.396279521444619</v>
      </c>
      <c r="Z99" s="575">
        <f t="shared" si="47"/>
        <v>54.784105087524544</v>
      </c>
      <c r="AA99" s="575">
        <f t="shared" si="47"/>
        <v>55.151062057805774</v>
      </c>
      <c r="AB99" s="575">
        <f t="shared" si="47"/>
        <v>55.059218929144919</v>
      </c>
      <c r="AC99" s="575">
        <f t="shared" si="47"/>
        <v>54.967156145195112</v>
      </c>
      <c r="AD99" s="575">
        <f t="shared" si="47"/>
        <v>54.875473472876998</v>
      </c>
      <c r="AE99" s="575">
        <f t="shared" si="47"/>
        <v>54.783560521372962</v>
      </c>
      <c r="AF99" s="575">
        <f t="shared" si="47"/>
        <v>54.691676578808377</v>
      </c>
      <c r="AG99" s="575">
        <f t="shared" si="47"/>
        <v>54.599514872640796</v>
      </c>
      <c r="AH99" s="575">
        <f t="shared" si="47"/>
        <v>54.507677940208453</v>
      </c>
      <c r="AI99" s="575">
        <f t="shared" si="47"/>
        <v>54.415621864912957</v>
      </c>
      <c r="AJ99" s="575">
        <f t="shared" si="47"/>
        <v>54.323844440907507</v>
      </c>
      <c r="AK99" s="575">
        <f t="shared" si="47"/>
        <v>54.231976453859765</v>
      </c>
      <c r="AL99" s="575">
        <f t="shared" si="47"/>
        <v>54.140108618109387</v>
      </c>
      <c r="AM99" s="575">
        <f t="shared" si="47"/>
        <v>54.049188878111558</v>
      </c>
      <c r="AN99" s="575">
        <f t="shared" si="47"/>
        <v>53.958270860850043</v>
      </c>
      <c r="AO99" s="575">
        <f t="shared" si="47"/>
        <v>53.867354568527453</v>
      </c>
      <c r="AP99" s="575">
        <f t="shared" si="47"/>
        <v>53.776440003349244</v>
      </c>
      <c r="AQ99" s="575">
        <f t="shared" si="47"/>
        <v>53.685527167523681</v>
      </c>
      <c r="AR99" s="575">
        <f t="shared" si="47"/>
        <v>53.594616063261874</v>
      </c>
      <c r="AS99" s="575">
        <f t="shared" si="47"/>
        <v>53.503706692777698</v>
      </c>
      <c r="AT99" s="575">
        <f t="shared" si="47"/>
        <v>53.412799058287938</v>
      </c>
      <c r="AU99" s="575">
        <f t="shared" si="47"/>
        <v>53.321893162012152</v>
      </c>
    </row>
    <row r="100" spans="2:51" ht="15">
      <c r="B100" s="10" t="str">
        <f>Processes!D86</f>
        <v>EXPRPC</v>
      </c>
      <c r="C100" s="10" t="str">
        <f>Processes!E86</f>
        <v>Export technology - Rape Cake</v>
      </c>
      <c r="D100" s="263" t="str">
        <f>Commodities!D58</f>
        <v>RPC</v>
      </c>
      <c r="F100" s="108" t="str">
        <f t="shared" si="42"/>
        <v>MKr14</v>
      </c>
      <c r="G100" s="575">
        <f t="shared" ref="G100:P101" si="48">IFERROR(INDEX($G$113:$AU$169,MATCH($D100,$E$113:$E$169,0),MATCH(G$23,$G$112:$AU$112,0)),0)*$E$182</f>
        <v>9.5</v>
      </c>
      <c r="H100" s="575">
        <f t="shared" si="48"/>
        <v>9.5</v>
      </c>
      <c r="I100" s="575">
        <f t="shared" si="48"/>
        <v>9.5</v>
      </c>
      <c r="J100" s="575">
        <f t="shared" si="48"/>
        <v>9.5</v>
      </c>
      <c r="K100" s="575">
        <f t="shared" si="48"/>
        <v>9.5</v>
      </c>
      <c r="L100" s="575">
        <f t="shared" si="48"/>
        <v>9.5</v>
      </c>
      <c r="M100" s="575">
        <f t="shared" si="48"/>
        <v>9.5</v>
      </c>
      <c r="N100" s="575">
        <f t="shared" si="48"/>
        <v>9.5</v>
      </c>
      <c r="O100" s="575">
        <f t="shared" si="48"/>
        <v>9.5</v>
      </c>
      <c r="P100" s="575">
        <f t="shared" si="48"/>
        <v>9.5</v>
      </c>
      <c r="Q100" s="575">
        <f t="shared" ref="Q100:Z101" si="49">IFERROR(INDEX($G$113:$AU$169,MATCH($D100,$E$113:$E$169,0),MATCH(Q$23,$G$112:$AU$112,0)),0)*$E$182</f>
        <v>9.5</v>
      </c>
      <c r="R100" s="575">
        <f t="shared" si="49"/>
        <v>9.5</v>
      </c>
      <c r="S100" s="575">
        <f t="shared" si="49"/>
        <v>9.5</v>
      </c>
      <c r="T100" s="575">
        <f t="shared" si="49"/>
        <v>9.5</v>
      </c>
      <c r="U100" s="575">
        <f t="shared" si="49"/>
        <v>9.5</v>
      </c>
      <c r="V100" s="575">
        <f t="shared" si="49"/>
        <v>9.5</v>
      </c>
      <c r="W100" s="575">
        <f t="shared" si="49"/>
        <v>9.5</v>
      </c>
      <c r="X100" s="575">
        <f t="shared" si="49"/>
        <v>9.5</v>
      </c>
      <c r="Y100" s="575">
        <f t="shared" si="49"/>
        <v>9.5</v>
      </c>
      <c r="Z100" s="575">
        <f t="shared" si="49"/>
        <v>9.5</v>
      </c>
      <c r="AA100" s="575">
        <f t="shared" ref="AA100:AJ101" si="50">IFERROR(INDEX($G$113:$AU$169,MATCH($D100,$E$113:$E$169,0),MATCH(AA$23,$G$112:$AU$112,0)),0)*$E$182</f>
        <v>9.5</v>
      </c>
      <c r="AB100" s="575">
        <f t="shared" si="50"/>
        <v>9.5</v>
      </c>
      <c r="AC100" s="575">
        <f t="shared" si="50"/>
        <v>9.5</v>
      </c>
      <c r="AD100" s="575">
        <f t="shared" si="50"/>
        <v>9.5</v>
      </c>
      <c r="AE100" s="575">
        <f t="shared" si="50"/>
        <v>9.5</v>
      </c>
      <c r="AF100" s="575">
        <f t="shared" si="50"/>
        <v>9.5</v>
      </c>
      <c r="AG100" s="575">
        <f t="shared" si="50"/>
        <v>9.5</v>
      </c>
      <c r="AH100" s="575">
        <f t="shared" si="50"/>
        <v>9.5</v>
      </c>
      <c r="AI100" s="575">
        <f t="shared" si="50"/>
        <v>9.5</v>
      </c>
      <c r="AJ100" s="575">
        <f t="shared" si="50"/>
        <v>9.5</v>
      </c>
      <c r="AK100" s="575">
        <f t="shared" ref="AK100:AU101" si="51">IFERROR(INDEX($G$113:$AU$169,MATCH($D100,$E$113:$E$169,0),MATCH(AK$23,$G$112:$AU$112,0)),0)*$E$182</f>
        <v>9.5</v>
      </c>
      <c r="AL100" s="575">
        <f t="shared" si="51"/>
        <v>9.5</v>
      </c>
      <c r="AM100" s="575">
        <f t="shared" si="51"/>
        <v>9.5</v>
      </c>
      <c r="AN100" s="575">
        <f t="shared" si="51"/>
        <v>9.5</v>
      </c>
      <c r="AO100" s="575">
        <f t="shared" si="51"/>
        <v>9.5</v>
      </c>
      <c r="AP100" s="575">
        <f t="shared" si="51"/>
        <v>9.5</v>
      </c>
      <c r="AQ100" s="575">
        <f t="shared" si="51"/>
        <v>9.5</v>
      </c>
      <c r="AR100" s="575">
        <f t="shared" si="51"/>
        <v>9.5</v>
      </c>
      <c r="AS100" s="575">
        <f t="shared" si="51"/>
        <v>9.5</v>
      </c>
      <c r="AT100" s="575">
        <f t="shared" si="51"/>
        <v>9.5</v>
      </c>
      <c r="AU100" s="575">
        <f t="shared" si="51"/>
        <v>9.5</v>
      </c>
    </row>
    <row r="101" spans="2:51" ht="15">
      <c r="B101" s="10" t="str">
        <f>Processes!D87</f>
        <v>EXPSGP</v>
      </c>
      <c r="C101" s="10" t="str">
        <f>Processes!E87</f>
        <v>Export technology - Sugar Beet Pulp</v>
      </c>
      <c r="D101" s="263" t="str">
        <f>Commodities!D59</f>
        <v>SGP</v>
      </c>
      <c r="F101" s="108" t="str">
        <f t="shared" si="42"/>
        <v>MKr14</v>
      </c>
      <c r="G101" s="575">
        <f t="shared" si="48"/>
        <v>9.5</v>
      </c>
      <c r="H101" s="575">
        <f t="shared" si="48"/>
        <v>9.5</v>
      </c>
      <c r="I101" s="575">
        <f t="shared" si="48"/>
        <v>9.5</v>
      </c>
      <c r="J101" s="575">
        <f t="shared" si="48"/>
        <v>9.5</v>
      </c>
      <c r="K101" s="575">
        <f t="shared" si="48"/>
        <v>9.5</v>
      </c>
      <c r="L101" s="575">
        <f t="shared" si="48"/>
        <v>9.5</v>
      </c>
      <c r="M101" s="575">
        <f t="shared" si="48"/>
        <v>9.5</v>
      </c>
      <c r="N101" s="575">
        <f t="shared" si="48"/>
        <v>9.5</v>
      </c>
      <c r="O101" s="575">
        <f t="shared" si="48"/>
        <v>9.5</v>
      </c>
      <c r="P101" s="575">
        <f t="shared" si="48"/>
        <v>9.5</v>
      </c>
      <c r="Q101" s="575">
        <f t="shared" si="49"/>
        <v>9.5</v>
      </c>
      <c r="R101" s="575">
        <f t="shared" si="49"/>
        <v>9.5</v>
      </c>
      <c r="S101" s="575">
        <f t="shared" si="49"/>
        <v>9.5</v>
      </c>
      <c r="T101" s="575">
        <f t="shared" si="49"/>
        <v>9.5</v>
      </c>
      <c r="U101" s="575">
        <f t="shared" si="49"/>
        <v>9.5</v>
      </c>
      <c r="V101" s="575">
        <f t="shared" si="49"/>
        <v>9.5</v>
      </c>
      <c r="W101" s="575">
        <f t="shared" si="49"/>
        <v>9.5</v>
      </c>
      <c r="X101" s="575">
        <f t="shared" si="49"/>
        <v>9.5</v>
      </c>
      <c r="Y101" s="575">
        <f t="shared" si="49"/>
        <v>9.5</v>
      </c>
      <c r="Z101" s="575">
        <f t="shared" si="49"/>
        <v>9.5</v>
      </c>
      <c r="AA101" s="575">
        <f t="shared" si="50"/>
        <v>9.5</v>
      </c>
      <c r="AB101" s="575">
        <f t="shared" si="50"/>
        <v>9.5</v>
      </c>
      <c r="AC101" s="575">
        <f t="shared" si="50"/>
        <v>9.5</v>
      </c>
      <c r="AD101" s="575">
        <f t="shared" si="50"/>
        <v>9.5</v>
      </c>
      <c r="AE101" s="575">
        <f t="shared" si="50"/>
        <v>9.5</v>
      </c>
      <c r="AF101" s="575">
        <f t="shared" si="50"/>
        <v>9.5</v>
      </c>
      <c r="AG101" s="575">
        <f t="shared" si="50"/>
        <v>9.5</v>
      </c>
      <c r="AH101" s="575">
        <f t="shared" si="50"/>
        <v>9.5</v>
      </c>
      <c r="AI101" s="575">
        <f t="shared" si="50"/>
        <v>9.5</v>
      </c>
      <c r="AJ101" s="575">
        <f t="shared" si="50"/>
        <v>9.5</v>
      </c>
      <c r="AK101" s="575">
        <f t="shared" si="51"/>
        <v>9.5</v>
      </c>
      <c r="AL101" s="575">
        <f t="shared" si="51"/>
        <v>9.5</v>
      </c>
      <c r="AM101" s="575">
        <f t="shared" si="51"/>
        <v>9.5</v>
      </c>
      <c r="AN101" s="575">
        <f t="shared" si="51"/>
        <v>9.5</v>
      </c>
      <c r="AO101" s="575">
        <f t="shared" si="51"/>
        <v>9.5</v>
      </c>
      <c r="AP101" s="575">
        <f t="shared" si="51"/>
        <v>9.5</v>
      </c>
      <c r="AQ101" s="575">
        <f t="shared" si="51"/>
        <v>9.5</v>
      </c>
      <c r="AR101" s="575">
        <f t="shared" si="51"/>
        <v>9.5</v>
      </c>
      <c r="AS101" s="575">
        <f t="shared" si="51"/>
        <v>9.5</v>
      </c>
      <c r="AT101" s="575">
        <f t="shared" si="51"/>
        <v>9.5</v>
      </c>
      <c r="AU101" s="575">
        <f t="shared" si="51"/>
        <v>9.5</v>
      </c>
    </row>
    <row r="102" spans="2:51" s="573" customFormat="1" ht="15">
      <c r="B102" s="456" t="str">
        <f>Processes!D88</f>
        <v>MINMNR</v>
      </c>
      <c r="C102" s="456" t="str">
        <f>Processes!E88</f>
        <v>Mining technology - Manure</v>
      </c>
      <c r="D102" s="263"/>
      <c r="E102" s="579" t="str">
        <f>RIGHT(B102,3)</f>
        <v>MNR</v>
      </c>
      <c r="F102" s="108" t="str">
        <f t="shared" si="40"/>
        <v>MKr14</v>
      </c>
      <c r="G102" s="575">
        <f>IFERROR(INDEX($G$113:$AU$169,MATCH($E102,$E$113:$E$169,0),MATCH(G$23,$G$112:$AU$112,0)),0)</f>
        <v>0.01</v>
      </c>
      <c r="H102" s="575">
        <f t="shared" ref="H102:AU102" si="52">IFERROR(INDEX($G$113:$AU$169,MATCH($E102,$E$113:$E$169,0),MATCH(H$23,$G$112:$AU$112,0)),0)</f>
        <v>0.01</v>
      </c>
      <c r="I102" s="575">
        <f t="shared" si="52"/>
        <v>0.01</v>
      </c>
      <c r="J102" s="575">
        <f t="shared" si="52"/>
        <v>0.01</v>
      </c>
      <c r="K102" s="575">
        <f t="shared" si="52"/>
        <v>0.01</v>
      </c>
      <c r="L102" s="575">
        <f t="shared" si="52"/>
        <v>0.01</v>
      </c>
      <c r="M102" s="575">
        <f t="shared" si="52"/>
        <v>0.01</v>
      </c>
      <c r="N102" s="575">
        <f t="shared" si="52"/>
        <v>0.01</v>
      </c>
      <c r="O102" s="575">
        <f t="shared" si="52"/>
        <v>0.01</v>
      </c>
      <c r="P102" s="575">
        <f t="shared" si="52"/>
        <v>0.01</v>
      </c>
      <c r="Q102" s="575">
        <f t="shared" si="52"/>
        <v>0.01</v>
      </c>
      <c r="R102" s="575">
        <f t="shared" si="52"/>
        <v>0.01</v>
      </c>
      <c r="S102" s="575">
        <f t="shared" si="52"/>
        <v>0.01</v>
      </c>
      <c r="T102" s="575">
        <f t="shared" si="52"/>
        <v>0.01</v>
      </c>
      <c r="U102" s="575">
        <f t="shared" si="52"/>
        <v>0.01</v>
      </c>
      <c r="V102" s="575">
        <f t="shared" si="52"/>
        <v>0.01</v>
      </c>
      <c r="W102" s="575">
        <f t="shared" si="52"/>
        <v>0.01</v>
      </c>
      <c r="X102" s="575">
        <f t="shared" si="52"/>
        <v>0.01</v>
      </c>
      <c r="Y102" s="575">
        <f t="shared" si="52"/>
        <v>0.01</v>
      </c>
      <c r="Z102" s="575">
        <f t="shared" si="52"/>
        <v>0.01</v>
      </c>
      <c r="AA102" s="575">
        <f t="shared" si="52"/>
        <v>0.01</v>
      </c>
      <c r="AB102" s="575">
        <f t="shared" si="52"/>
        <v>0.01</v>
      </c>
      <c r="AC102" s="575">
        <f t="shared" si="52"/>
        <v>0.01</v>
      </c>
      <c r="AD102" s="575">
        <f t="shared" si="52"/>
        <v>0.01</v>
      </c>
      <c r="AE102" s="575">
        <f t="shared" si="52"/>
        <v>0.01</v>
      </c>
      <c r="AF102" s="575">
        <f t="shared" si="52"/>
        <v>0.01</v>
      </c>
      <c r="AG102" s="575">
        <f t="shared" si="52"/>
        <v>0.01</v>
      </c>
      <c r="AH102" s="575">
        <f t="shared" si="52"/>
        <v>0.01</v>
      </c>
      <c r="AI102" s="575">
        <f t="shared" si="52"/>
        <v>0.01</v>
      </c>
      <c r="AJ102" s="575">
        <f t="shared" si="52"/>
        <v>0.01</v>
      </c>
      <c r="AK102" s="575">
        <f t="shared" si="52"/>
        <v>0.01</v>
      </c>
      <c r="AL102" s="575">
        <f t="shared" si="52"/>
        <v>0.01</v>
      </c>
      <c r="AM102" s="575">
        <f t="shared" si="52"/>
        <v>0.01</v>
      </c>
      <c r="AN102" s="575">
        <f t="shared" si="52"/>
        <v>0.01</v>
      </c>
      <c r="AO102" s="575">
        <f t="shared" si="52"/>
        <v>0.01</v>
      </c>
      <c r="AP102" s="575">
        <f t="shared" si="52"/>
        <v>0.01</v>
      </c>
      <c r="AQ102" s="575">
        <f t="shared" si="52"/>
        <v>0.01</v>
      </c>
      <c r="AR102" s="575">
        <f t="shared" si="52"/>
        <v>0.01</v>
      </c>
      <c r="AS102" s="575">
        <f t="shared" si="52"/>
        <v>0.01</v>
      </c>
      <c r="AT102" s="575">
        <f t="shared" si="52"/>
        <v>0.01</v>
      </c>
      <c r="AU102" s="575">
        <f t="shared" si="52"/>
        <v>0.01</v>
      </c>
    </row>
    <row r="103" spans="2:51" s="573" customFormat="1" ht="15">
      <c r="B103" s="456" t="str">
        <f>Processes!D89</f>
        <v>IMPMOV</v>
      </c>
      <c r="C103" s="9" t="s">
        <v>793</v>
      </c>
      <c r="D103" s="263"/>
      <c r="E103" s="577" t="s">
        <v>790</v>
      </c>
      <c r="F103" s="578" t="s">
        <v>1113</v>
      </c>
      <c r="G103" s="575"/>
      <c r="H103" s="575"/>
      <c r="I103" s="575"/>
      <c r="J103" s="575"/>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75"/>
      <c r="AG103" s="575"/>
      <c r="AH103" s="575"/>
      <c r="AI103" s="575"/>
      <c r="AJ103" s="575"/>
      <c r="AK103" s="575"/>
      <c r="AL103" s="575"/>
      <c r="AM103" s="575"/>
      <c r="AN103" s="575"/>
      <c r="AO103" s="575"/>
      <c r="AP103" s="575"/>
      <c r="AQ103" s="575"/>
      <c r="AR103" s="575"/>
      <c r="AS103" s="575"/>
      <c r="AT103" s="575"/>
      <c r="AU103" s="575"/>
    </row>
    <row r="104" spans="2:51" s="573" customFormat="1" ht="15">
      <c r="B104" s="456" t="str">
        <f>Processes!D90</f>
        <v>IMPAGSL</v>
      </c>
      <c r="C104" s="9" t="s">
        <v>785</v>
      </c>
      <c r="D104" s="263"/>
      <c r="E104" s="577" t="s">
        <v>789</v>
      </c>
      <c r="F104" s="108" t="str">
        <f t="shared" si="40"/>
        <v>MKr19</v>
      </c>
      <c r="G104" s="575">
        <f>IFERROR(INDEX($G$113:$AU$169,MATCH($E104,$E$113:$E$169,0),MATCH(G$23,$G$112:$AU$112,0)),0)</f>
        <v>76.5</v>
      </c>
      <c r="H104" s="575">
        <f t="shared" ref="H104:AU104" si="53">IFERROR(INDEX($G$113:$AU$169,MATCH($E104,$E$113:$E$169,0),MATCH(H$23,$G$112:$AU$112,0)),0)</f>
        <v>112.4</v>
      </c>
      <c r="I104" s="575">
        <f t="shared" si="53"/>
        <v>116.3</v>
      </c>
      <c r="J104" s="575">
        <f t="shared" si="53"/>
        <v>118.6</v>
      </c>
      <c r="K104" s="575">
        <f t="shared" si="53"/>
        <v>110.1</v>
      </c>
      <c r="L104" s="575">
        <f t="shared" si="53"/>
        <v>73.5</v>
      </c>
      <c r="M104" s="575">
        <f t="shared" si="53"/>
        <v>70.599999999999994</v>
      </c>
      <c r="N104" s="575">
        <f t="shared" si="53"/>
        <v>74.7</v>
      </c>
      <c r="O104" s="575">
        <f t="shared" si="53"/>
        <v>99.501075794723519</v>
      </c>
      <c r="P104" s="575">
        <f t="shared" si="53"/>
        <v>92.996963615472367</v>
      </c>
      <c r="Q104" s="575">
        <f t="shared" si="53"/>
        <v>91.517025086546809</v>
      </c>
      <c r="R104" s="575">
        <f t="shared" si="53"/>
        <v>69.532939675183428</v>
      </c>
      <c r="S104" s="575">
        <f t="shared" si="53"/>
        <v>72.941438545887451</v>
      </c>
      <c r="T104" s="575">
        <f t="shared" si="53"/>
        <v>75.264522441042786</v>
      </c>
      <c r="U104" s="575">
        <f t="shared" si="53"/>
        <v>76.962731586007934</v>
      </c>
      <c r="V104" s="575">
        <f t="shared" si="53"/>
        <v>78.199209412536121</v>
      </c>
      <c r="W104" s="575">
        <f t="shared" si="53"/>
        <v>79.564672750845261</v>
      </c>
      <c r="X104" s="575">
        <f t="shared" si="53"/>
        <v>80.902811517689884</v>
      </c>
      <c r="Y104" s="575">
        <f t="shared" si="53"/>
        <v>82.133932814730045</v>
      </c>
      <c r="Z104" s="575">
        <f t="shared" si="53"/>
        <v>83.42668470166312</v>
      </c>
      <c r="AA104" s="575">
        <f t="shared" si="53"/>
        <v>84.649874602600562</v>
      </c>
      <c r="AB104" s="575">
        <f t="shared" si="53"/>
        <v>84.343730840397711</v>
      </c>
      <c r="AC104" s="575">
        <f t="shared" si="53"/>
        <v>84.036854893898322</v>
      </c>
      <c r="AD104" s="575">
        <f t="shared" si="53"/>
        <v>83.731245986171288</v>
      </c>
      <c r="AE104" s="575">
        <f t="shared" si="53"/>
        <v>83.424869481157842</v>
      </c>
      <c r="AF104" s="575">
        <f t="shared" si="53"/>
        <v>83.118589672609204</v>
      </c>
      <c r="AG104" s="575">
        <f t="shared" si="53"/>
        <v>82.811383985383955</v>
      </c>
      <c r="AH104" s="575">
        <f t="shared" si="53"/>
        <v>82.505260877276157</v>
      </c>
      <c r="AI104" s="575">
        <f t="shared" si="53"/>
        <v>82.198407292957839</v>
      </c>
      <c r="AJ104" s="575">
        <f t="shared" si="53"/>
        <v>81.892482546272987</v>
      </c>
      <c r="AK104" s="575">
        <f t="shared" si="53"/>
        <v>81.586255922780509</v>
      </c>
      <c r="AL104" s="575">
        <f t="shared" si="53"/>
        <v>81.280029803612607</v>
      </c>
      <c r="AM104" s="575">
        <f t="shared" si="53"/>
        <v>80.976964003619855</v>
      </c>
      <c r="AN104" s="575">
        <f t="shared" si="53"/>
        <v>80.673903946081424</v>
      </c>
      <c r="AO104" s="575">
        <f t="shared" si="53"/>
        <v>80.370849638339479</v>
      </c>
      <c r="AP104" s="575">
        <f t="shared" si="53"/>
        <v>80.067801087745465</v>
      </c>
      <c r="AQ104" s="575">
        <f t="shared" si="53"/>
        <v>79.764758301660265</v>
      </c>
      <c r="AR104" s="575">
        <f t="shared" si="53"/>
        <v>79.461721287454196</v>
      </c>
      <c r="AS104" s="575">
        <f t="shared" si="53"/>
        <v>79.158690052506984</v>
      </c>
      <c r="AT104" s="575">
        <f t="shared" si="53"/>
        <v>78.85566460420776</v>
      </c>
      <c r="AU104" s="575">
        <f t="shared" si="53"/>
        <v>78.552644949955152</v>
      </c>
    </row>
    <row r="105" spans="2:51" s="573" customFormat="1" ht="15">
      <c r="B105" s="10"/>
      <c r="C105" s="10"/>
      <c r="D105" s="263"/>
      <c r="E105" s="574"/>
      <c r="F105" s="108"/>
      <c r="G105" s="575"/>
      <c r="H105" s="575"/>
      <c r="I105" s="575"/>
      <c r="J105" s="575"/>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75"/>
      <c r="AG105" s="575"/>
      <c r="AH105" s="575"/>
      <c r="AI105" s="575"/>
      <c r="AJ105" s="575"/>
      <c r="AK105" s="575"/>
      <c r="AL105" s="575"/>
      <c r="AM105" s="575"/>
      <c r="AN105" s="575"/>
      <c r="AO105" s="575"/>
      <c r="AP105" s="575"/>
      <c r="AQ105" s="575"/>
      <c r="AR105" s="575"/>
      <c r="AS105" s="575"/>
      <c r="AT105" s="575"/>
      <c r="AU105" s="575"/>
    </row>
    <row r="106" spans="2:51">
      <c r="B106" s="10"/>
      <c r="C106" s="10"/>
      <c r="D106" s="263"/>
      <c r="E106" s="456"/>
      <c r="F106" s="108"/>
    </row>
    <row r="107" spans="2:51" s="576" customFormat="1" ht="15">
      <c r="B107" s="744"/>
      <c r="C107" s="744"/>
      <c r="D107" s="745"/>
      <c r="E107" s="574"/>
      <c r="F107" s="634"/>
      <c r="G107" s="575"/>
      <c r="H107" s="575"/>
      <c r="I107" s="575"/>
      <c r="J107" s="575"/>
      <c r="K107" s="575"/>
      <c r="L107" s="575"/>
      <c r="M107" s="575"/>
      <c r="N107" s="575"/>
      <c r="O107" s="575"/>
      <c r="P107" s="575"/>
      <c r="Q107" s="575"/>
      <c r="R107" s="575"/>
      <c r="S107" s="575"/>
      <c r="T107" s="575"/>
      <c r="U107" s="575"/>
    </row>
    <row r="108" spans="2:51" s="576" customFormat="1" ht="15">
      <c r="B108" s="744"/>
      <c r="C108" s="744"/>
      <c r="D108" s="745"/>
      <c r="E108" s="574"/>
      <c r="F108" s="634"/>
      <c r="G108" s="575"/>
      <c r="H108" s="575"/>
      <c r="I108" s="575"/>
      <c r="J108" s="575"/>
      <c r="K108" s="575"/>
      <c r="L108" s="575"/>
      <c r="M108" s="575"/>
      <c r="N108" s="575"/>
      <c r="O108" s="575"/>
      <c r="P108" s="575"/>
      <c r="Q108" s="575"/>
      <c r="R108" s="575"/>
      <c r="S108" s="575"/>
      <c r="T108" s="575"/>
      <c r="U108" s="575"/>
    </row>
    <row r="109" spans="2:51" s="576" customFormat="1">
      <c r="B109" s="744"/>
      <c r="C109" s="820" t="s">
        <v>1110</v>
      </c>
      <c r="D109" s="820"/>
      <c r="E109" s="820"/>
      <c r="F109" s="820"/>
      <c r="G109" s="820"/>
      <c r="H109" s="820"/>
      <c r="I109" s="820"/>
      <c r="J109" s="820"/>
      <c r="K109" s="820"/>
      <c r="L109" s="820"/>
    </row>
    <row r="110" spans="2:51" s="576" customFormat="1">
      <c r="B110" s="744"/>
      <c r="C110" s="820"/>
      <c r="D110" s="820"/>
      <c r="E110" s="820"/>
      <c r="F110" s="820"/>
      <c r="G110" s="820"/>
      <c r="H110" s="820"/>
      <c r="I110" s="820"/>
      <c r="J110" s="820"/>
      <c r="K110" s="820"/>
      <c r="L110" s="820"/>
    </row>
    <row r="111" spans="2:51" s="576" customFormat="1">
      <c r="B111" s="744"/>
      <c r="C111" s="744"/>
      <c r="D111" s="745"/>
      <c r="E111" s="744"/>
      <c r="F111" s="634"/>
    </row>
    <row r="112" spans="2:51" s="576" customFormat="1">
      <c r="D112" s="744"/>
      <c r="E112" s="744" t="s">
        <v>1111</v>
      </c>
      <c r="F112" s="745" t="s">
        <v>1112</v>
      </c>
      <c r="G112" s="746">
        <v>2010</v>
      </c>
      <c r="H112" s="746">
        <v>2011</v>
      </c>
      <c r="I112" s="746">
        <v>2012</v>
      </c>
      <c r="J112" s="746">
        <v>2013</v>
      </c>
      <c r="K112" s="746">
        <v>2014</v>
      </c>
      <c r="L112" s="746">
        <v>2015</v>
      </c>
      <c r="M112" s="746">
        <v>2016</v>
      </c>
      <c r="N112" s="746">
        <v>2017</v>
      </c>
      <c r="O112" s="746">
        <v>2018</v>
      </c>
      <c r="P112" s="746">
        <v>2019</v>
      </c>
      <c r="Q112" s="746">
        <v>2020</v>
      </c>
      <c r="R112" s="746">
        <v>2021</v>
      </c>
      <c r="S112" s="746">
        <v>2022</v>
      </c>
      <c r="T112" s="746">
        <v>2023</v>
      </c>
      <c r="U112" s="746">
        <v>2024</v>
      </c>
      <c r="V112" s="746">
        <v>2025</v>
      </c>
      <c r="W112" s="746">
        <v>2026</v>
      </c>
      <c r="X112" s="746">
        <v>2027</v>
      </c>
      <c r="Y112" s="746">
        <v>2028</v>
      </c>
      <c r="Z112" s="746">
        <v>2029</v>
      </c>
      <c r="AA112" s="746">
        <v>2030</v>
      </c>
      <c r="AB112" s="746">
        <v>2031</v>
      </c>
      <c r="AC112" s="746">
        <v>2032</v>
      </c>
      <c r="AD112" s="746">
        <v>2033</v>
      </c>
      <c r="AE112" s="746">
        <v>2034</v>
      </c>
      <c r="AF112" s="746">
        <v>2035</v>
      </c>
      <c r="AG112" s="746">
        <v>2036</v>
      </c>
      <c r="AH112" s="746">
        <v>2037</v>
      </c>
      <c r="AI112" s="746">
        <v>2038</v>
      </c>
      <c r="AJ112" s="746">
        <v>2039</v>
      </c>
      <c r="AK112" s="746">
        <v>2040</v>
      </c>
      <c r="AL112" s="746">
        <v>2041</v>
      </c>
      <c r="AM112" s="746">
        <v>2042</v>
      </c>
      <c r="AN112" s="746">
        <v>2043</v>
      </c>
      <c r="AO112" s="746">
        <v>2044</v>
      </c>
      <c r="AP112" s="746">
        <v>2045</v>
      </c>
      <c r="AQ112" s="746">
        <v>2046</v>
      </c>
      <c r="AR112" s="746">
        <v>2047</v>
      </c>
      <c r="AS112" s="746">
        <v>2048</v>
      </c>
      <c r="AT112" s="746">
        <v>2049</v>
      </c>
      <c r="AU112" s="746">
        <v>2050</v>
      </c>
    </row>
    <row r="113" spans="4:48" s="576" customFormat="1">
      <c r="D113" s="744"/>
      <c r="E113" s="744" t="s">
        <v>40</v>
      </c>
      <c r="F113" s="747" t="s">
        <v>1113</v>
      </c>
      <c r="G113" s="748">
        <f>G208</f>
        <v>23.1</v>
      </c>
      <c r="H113" s="748">
        <f t="shared" ref="H113:N114" si="54">H208</f>
        <v>27.7</v>
      </c>
      <c r="I113" s="748">
        <f t="shared" si="54"/>
        <v>23.9</v>
      </c>
      <c r="J113" s="748">
        <f t="shared" si="54"/>
        <v>20.3</v>
      </c>
      <c r="K113" s="748">
        <f t="shared" si="54"/>
        <v>17.2</v>
      </c>
      <c r="L113" s="748">
        <f t="shared" si="54"/>
        <v>15.7</v>
      </c>
      <c r="M113" s="748">
        <f t="shared" si="54"/>
        <v>12.2</v>
      </c>
      <c r="N113" s="748">
        <f t="shared" si="54"/>
        <v>11.7</v>
      </c>
      <c r="O113" s="749">
        <f t="shared" ref="O113:X114" si="55">INDEX($D$277:$O$309,MATCH(O$23,$C$277:$C$309,0),MATCH($E113,$D$274:$O$274,0))</f>
        <v>22.935796128023767</v>
      </c>
      <c r="P113" s="749">
        <f t="shared" si="55"/>
        <v>15.532766006190153</v>
      </c>
      <c r="Q113" s="749">
        <f t="shared" si="55"/>
        <v>12.929551889587877</v>
      </c>
      <c r="R113" s="749">
        <f t="shared" si="55"/>
        <v>13.166058954324894</v>
      </c>
      <c r="S113" s="749">
        <f t="shared" si="55"/>
        <v>13.673473481430243</v>
      </c>
      <c r="T113" s="749">
        <f t="shared" si="55"/>
        <v>14.173926683886389</v>
      </c>
      <c r="U113" s="749">
        <f t="shared" si="55"/>
        <v>14.64740072098045</v>
      </c>
      <c r="V113" s="749">
        <f t="shared" si="55"/>
        <v>14.580898828103843</v>
      </c>
      <c r="W113" s="749">
        <f t="shared" si="55"/>
        <v>14.5316584938834</v>
      </c>
      <c r="X113" s="749">
        <f t="shared" si="55"/>
        <v>14.477230593088336</v>
      </c>
      <c r="Y113" s="749">
        <f t="shared" ref="Y113:AH114" si="56">INDEX($D$277:$O$309,MATCH(Y$23,$C$277:$C$309,0),MATCH($E113,$D$274:$O$274,0))</f>
        <v>14.413190648189367</v>
      </c>
      <c r="Z113" s="749">
        <f t="shared" si="56"/>
        <v>14.343963605486476</v>
      </c>
      <c r="AA113" s="749">
        <f t="shared" si="56"/>
        <v>14.266503152082981</v>
      </c>
      <c r="AB113" s="749">
        <f t="shared" si="56"/>
        <v>14.23069306413351</v>
      </c>
      <c r="AC113" s="749">
        <f t="shared" si="56"/>
        <v>14.195037264254136</v>
      </c>
      <c r="AD113" s="749">
        <f t="shared" si="56"/>
        <v>14.159114470166005</v>
      </c>
      <c r="AE113" s="749">
        <f t="shared" si="56"/>
        <v>14.123353426479357</v>
      </c>
      <c r="AF113" s="749">
        <f t="shared" si="56"/>
        <v>14.087572006623748</v>
      </c>
      <c r="AG113" s="749">
        <f t="shared" si="56"/>
        <v>14.051985690698709</v>
      </c>
      <c r="AH113" s="749">
        <f t="shared" si="56"/>
        <v>14.016171250456402</v>
      </c>
      <c r="AI113" s="749">
        <f t="shared" ref="AI113:AU114" si="57">INDEX($D$277:$O$309,MATCH(AI$23,$C$277:$C$309,0),MATCH($E113,$D$274:$O$274,0))</f>
        <v>13.980510738351196</v>
      </c>
      <c r="AJ113" s="749">
        <f t="shared" si="57"/>
        <v>13.944654498795146</v>
      </c>
      <c r="AK113" s="749">
        <f t="shared" si="57"/>
        <v>13.908861871625055</v>
      </c>
      <c r="AL113" s="749">
        <f t="shared" si="57"/>
        <v>13.873069138182171</v>
      </c>
      <c r="AM113" s="749">
        <f t="shared" si="57"/>
        <v>13.836610452807903</v>
      </c>
      <c r="AN113" s="749">
        <f t="shared" si="57"/>
        <v>13.800150557366436</v>
      </c>
      <c r="AO113" s="749">
        <f t="shared" si="57"/>
        <v>13.763689450310618</v>
      </c>
      <c r="AP113" s="749">
        <f t="shared" si="57"/>
        <v>13.727227130091334</v>
      </c>
      <c r="AQ113" s="749">
        <f t="shared" si="57"/>
        <v>13.690763595157463</v>
      </c>
      <c r="AR113" s="749">
        <f t="shared" si="57"/>
        <v>13.654298843955917</v>
      </c>
      <c r="AS113" s="749">
        <f t="shared" si="57"/>
        <v>13.617832874931624</v>
      </c>
      <c r="AT113" s="749">
        <f t="shared" si="57"/>
        <v>13.581365686527514</v>
      </c>
      <c r="AU113" s="749">
        <f t="shared" si="57"/>
        <v>13.544897277184536</v>
      </c>
      <c r="AV113" s="748"/>
    </row>
    <row r="114" spans="4:48" s="576" customFormat="1">
      <c r="D114" s="744"/>
      <c r="E114" s="744" t="s">
        <v>97</v>
      </c>
      <c r="F114" s="747" t="s">
        <v>1113</v>
      </c>
      <c r="G114" s="748">
        <f>G209</f>
        <v>76.2</v>
      </c>
      <c r="H114" s="748">
        <f t="shared" si="54"/>
        <v>106.1</v>
      </c>
      <c r="I114" s="748">
        <f t="shared" si="54"/>
        <v>112.9</v>
      </c>
      <c r="J114" s="748">
        <f t="shared" si="54"/>
        <v>100.3</v>
      </c>
      <c r="K114" s="748">
        <f t="shared" si="54"/>
        <v>97.3</v>
      </c>
      <c r="L114" s="748">
        <f t="shared" si="54"/>
        <v>62.7</v>
      </c>
      <c r="M114" s="748">
        <f t="shared" si="54"/>
        <v>59.9</v>
      </c>
      <c r="N114" s="748">
        <f t="shared" si="54"/>
        <v>63.9</v>
      </c>
      <c r="O114" s="749">
        <f t="shared" si="55"/>
        <v>78.592912119302227</v>
      </c>
      <c r="P114" s="749">
        <f t="shared" si="55"/>
        <v>72.66780821917807</v>
      </c>
      <c r="Q114" s="749">
        <f t="shared" si="55"/>
        <v>71.191547947610658</v>
      </c>
      <c r="R114" s="749">
        <f t="shared" si="55"/>
        <v>49.181117057429148</v>
      </c>
      <c r="S114" s="749">
        <f t="shared" si="55"/>
        <v>52.581323432074825</v>
      </c>
      <c r="T114" s="749">
        <f t="shared" si="55"/>
        <v>54.889966476332738</v>
      </c>
      <c r="U114" s="749">
        <f t="shared" si="55"/>
        <v>56.568388062461416</v>
      </c>
      <c r="V114" s="749">
        <f t="shared" si="55"/>
        <v>57.786429057350325</v>
      </c>
      <c r="W114" s="749">
        <f t="shared" si="55"/>
        <v>59.146270171698553</v>
      </c>
      <c r="X114" s="749">
        <f t="shared" si="55"/>
        <v>60.478046986869018</v>
      </c>
      <c r="Y114" s="749">
        <f t="shared" si="56"/>
        <v>61.703174257304624</v>
      </c>
      <c r="Z114" s="749">
        <f t="shared" si="56"/>
        <v>62.989602327697277</v>
      </c>
      <c r="AA114" s="749">
        <f t="shared" si="56"/>
        <v>64.209121548162642</v>
      </c>
      <c r="AB114" s="749">
        <f t="shared" si="56"/>
        <v>63.901532941943884</v>
      </c>
      <c r="AC114" s="749">
        <f t="shared" si="56"/>
        <v>63.593944335725141</v>
      </c>
      <c r="AD114" s="749">
        <f t="shared" si="56"/>
        <v>63.286355729506404</v>
      </c>
      <c r="AE114" s="749">
        <f t="shared" si="56"/>
        <v>62.978767123287653</v>
      </c>
      <c r="AF114" s="749">
        <f t="shared" si="56"/>
        <v>62.671178517068917</v>
      </c>
      <c r="AG114" s="749">
        <f t="shared" si="56"/>
        <v>62.363589910850173</v>
      </c>
      <c r="AH114" s="749">
        <f t="shared" si="56"/>
        <v>62.056001304631437</v>
      </c>
      <c r="AI114" s="749">
        <f t="shared" si="57"/>
        <v>61.7484126984127</v>
      </c>
      <c r="AJ114" s="749">
        <f t="shared" si="57"/>
        <v>61.440824092193949</v>
      </c>
      <c r="AK114" s="749">
        <f t="shared" si="57"/>
        <v>61.133235485975206</v>
      </c>
      <c r="AL114" s="749">
        <f t="shared" si="57"/>
        <v>60.825646879756469</v>
      </c>
      <c r="AM114" s="749">
        <f t="shared" si="57"/>
        <v>60.518058273537719</v>
      </c>
      <c r="AN114" s="749">
        <f t="shared" si="57"/>
        <v>60.210469667318975</v>
      </c>
      <c r="AO114" s="749">
        <f t="shared" si="57"/>
        <v>59.902881061100238</v>
      </c>
      <c r="AP114" s="749">
        <f t="shared" si="57"/>
        <v>59.595292454881495</v>
      </c>
      <c r="AQ114" s="749">
        <f t="shared" si="57"/>
        <v>59.287703848662751</v>
      </c>
      <c r="AR114" s="749">
        <f t="shared" si="57"/>
        <v>58.980115242444008</v>
      </c>
      <c r="AS114" s="749">
        <f t="shared" si="57"/>
        <v>58.672526636225271</v>
      </c>
      <c r="AT114" s="749">
        <f t="shared" si="57"/>
        <v>58.364938030006527</v>
      </c>
      <c r="AU114" s="749">
        <f t="shared" si="57"/>
        <v>58.057349423787784</v>
      </c>
    </row>
    <row r="115" spans="4:48" s="576" customFormat="1">
      <c r="D115" s="744"/>
      <c r="E115" s="744" t="s">
        <v>851</v>
      </c>
      <c r="F115" s="747" t="s">
        <v>1113</v>
      </c>
      <c r="G115" s="748">
        <f>G114</f>
        <v>76.2</v>
      </c>
      <c r="H115" s="748">
        <f t="shared" ref="H115:AU115" si="58">H114</f>
        <v>106.1</v>
      </c>
      <c r="I115" s="748">
        <f t="shared" si="58"/>
        <v>112.9</v>
      </c>
      <c r="J115" s="748">
        <f t="shared" si="58"/>
        <v>100.3</v>
      </c>
      <c r="K115" s="748">
        <f t="shared" si="58"/>
        <v>97.3</v>
      </c>
      <c r="L115" s="748">
        <f t="shared" si="58"/>
        <v>62.7</v>
      </c>
      <c r="M115" s="748">
        <f t="shared" si="58"/>
        <v>59.9</v>
      </c>
      <c r="N115" s="748">
        <f t="shared" si="58"/>
        <v>63.9</v>
      </c>
      <c r="O115" s="749">
        <f>O114</f>
        <v>78.592912119302227</v>
      </c>
      <c r="P115" s="749">
        <f t="shared" si="58"/>
        <v>72.66780821917807</v>
      </c>
      <c r="Q115" s="749">
        <f t="shared" si="58"/>
        <v>71.191547947610658</v>
      </c>
      <c r="R115" s="749">
        <f t="shared" si="58"/>
        <v>49.181117057429148</v>
      </c>
      <c r="S115" s="749">
        <f t="shared" si="58"/>
        <v>52.581323432074825</v>
      </c>
      <c r="T115" s="749">
        <f t="shared" si="58"/>
        <v>54.889966476332738</v>
      </c>
      <c r="U115" s="749">
        <f t="shared" si="58"/>
        <v>56.568388062461416</v>
      </c>
      <c r="V115" s="749">
        <f t="shared" si="58"/>
        <v>57.786429057350325</v>
      </c>
      <c r="W115" s="749">
        <f t="shared" si="58"/>
        <v>59.146270171698553</v>
      </c>
      <c r="X115" s="749">
        <f t="shared" si="58"/>
        <v>60.478046986869018</v>
      </c>
      <c r="Y115" s="749">
        <f t="shared" si="58"/>
        <v>61.703174257304624</v>
      </c>
      <c r="Z115" s="749">
        <f t="shared" si="58"/>
        <v>62.989602327697277</v>
      </c>
      <c r="AA115" s="749">
        <f t="shared" si="58"/>
        <v>64.209121548162642</v>
      </c>
      <c r="AB115" s="749">
        <f t="shared" si="58"/>
        <v>63.901532941943884</v>
      </c>
      <c r="AC115" s="749">
        <f t="shared" si="58"/>
        <v>63.593944335725141</v>
      </c>
      <c r="AD115" s="749">
        <f t="shared" si="58"/>
        <v>63.286355729506404</v>
      </c>
      <c r="AE115" s="749">
        <f t="shared" si="58"/>
        <v>62.978767123287653</v>
      </c>
      <c r="AF115" s="749">
        <f t="shared" si="58"/>
        <v>62.671178517068917</v>
      </c>
      <c r="AG115" s="749">
        <f t="shared" si="58"/>
        <v>62.363589910850173</v>
      </c>
      <c r="AH115" s="749">
        <f t="shared" si="58"/>
        <v>62.056001304631437</v>
      </c>
      <c r="AI115" s="749">
        <f t="shared" si="58"/>
        <v>61.7484126984127</v>
      </c>
      <c r="AJ115" s="749">
        <f t="shared" si="58"/>
        <v>61.440824092193949</v>
      </c>
      <c r="AK115" s="749">
        <f t="shared" si="58"/>
        <v>61.133235485975206</v>
      </c>
      <c r="AL115" s="749">
        <f t="shared" si="58"/>
        <v>60.825646879756469</v>
      </c>
      <c r="AM115" s="749">
        <f t="shared" si="58"/>
        <v>60.518058273537719</v>
      </c>
      <c r="AN115" s="749">
        <f t="shared" si="58"/>
        <v>60.210469667318975</v>
      </c>
      <c r="AO115" s="749">
        <f t="shared" si="58"/>
        <v>59.902881061100238</v>
      </c>
      <c r="AP115" s="749">
        <f t="shared" si="58"/>
        <v>59.595292454881495</v>
      </c>
      <c r="AQ115" s="749">
        <f t="shared" si="58"/>
        <v>59.287703848662751</v>
      </c>
      <c r="AR115" s="749">
        <f t="shared" si="58"/>
        <v>58.980115242444008</v>
      </c>
      <c r="AS115" s="749">
        <f t="shared" si="58"/>
        <v>58.672526636225271</v>
      </c>
      <c r="AT115" s="749">
        <f t="shared" si="58"/>
        <v>58.364938030006527</v>
      </c>
      <c r="AU115" s="749">
        <f t="shared" si="58"/>
        <v>58.057349423787784</v>
      </c>
    </row>
    <row r="116" spans="4:48" s="576" customFormat="1">
      <c r="D116" s="744"/>
      <c r="E116" s="744" t="s">
        <v>80</v>
      </c>
      <c r="F116" s="747" t="s">
        <v>1113</v>
      </c>
      <c r="G116" s="748">
        <f>G210</f>
        <v>92.8</v>
      </c>
      <c r="H116" s="748">
        <f t="shared" ref="H116:N116" si="59">H210</f>
        <v>122.9</v>
      </c>
      <c r="I116" s="748">
        <f t="shared" si="59"/>
        <v>136.69999999999999</v>
      </c>
      <c r="J116" s="748">
        <f t="shared" si="59"/>
        <v>122</v>
      </c>
      <c r="K116" s="748">
        <f t="shared" si="59"/>
        <v>114.8</v>
      </c>
      <c r="L116" s="748">
        <f t="shared" si="59"/>
        <v>78.2</v>
      </c>
      <c r="M116" s="748">
        <f t="shared" si="59"/>
        <v>75.3</v>
      </c>
      <c r="N116" s="748">
        <f t="shared" si="59"/>
        <v>79.400000000000006</v>
      </c>
      <c r="O116" s="749">
        <f t="shared" ref="O116:AU116" si="60">INDEX($D$277:$O$309,MATCH(O$23,$C$277:$C$309,0),MATCH($E116,$D$274:$O$274,0))</f>
        <v>102.40107579472352</v>
      </c>
      <c r="P116" s="749">
        <f t="shared" si="60"/>
        <v>97.746963615472367</v>
      </c>
      <c r="Q116" s="749">
        <f t="shared" si="60"/>
        <v>96.267025086546809</v>
      </c>
      <c r="R116" s="749">
        <f t="shared" si="60"/>
        <v>74.282939675183428</v>
      </c>
      <c r="S116" s="749">
        <f t="shared" si="60"/>
        <v>77.691438545887451</v>
      </c>
      <c r="T116" s="749">
        <f t="shared" si="60"/>
        <v>80.014522441042786</v>
      </c>
      <c r="U116" s="749">
        <f t="shared" si="60"/>
        <v>81.712731586007934</v>
      </c>
      <c r="V116" s="749">
        <f t="shared" si="60"/>
        <v>82.949209412536121</v>
      </c>
      <c r="W116" s="749">
        <f t="shared" si="60"/>
        <v>84.314672750845261</v>
      </c>
      <c r="X116" s="749">
        <f t="shared" si="60"/>
        <v>85.652811517689884</v>
      </c>
      <c r="Y116" s="749">
        <f t="shared" si="60"/>
        <v>86.883932814730045</v>
      </c>
      <c r="Z116" s="749">
        <f t="shared" si="60"/>
        <v>88.17668470166312</v>
      </c>
      <c r="AA116" s="749">
        <f t="shared" si="60"/>
        <v>89.399874602600562</v>
      </c>
      <c r="AB116" s="749">
        <f t="shared" si="60"/>
        <v>89.093730840397711</v>
      </c>
      <c r="AC116" s="749">
        <f t="shared" si="60"/>
        <v>88.786854893898322</v>
      </c>
      <c r="AD116" s="749">
        <f t="shared" si="60"/>
        <v>88.481245986171288</v>
      </c>
      <c r="AE116" s="749">
        <f t="shared" si="60"/>
        <v>88.174869481157842</v>
      </c>
      <c r="AF116" s="749">
        <f t="shared" si="60"/>
        <v>87.868589672609204</v>
      </c>
      <c r="AG116" s="749">
        <f t="shared" si="60"/>
        <v>87.561383985383955</v>
      </c>
      <c r="AH116" s="749">
        <f t="shared" si="60"/>
        <v>87.255260877276157</v>
      </c>
      <c r="AI116" s="749">
        <f t="shared" si="60"/>
        <v>86.948407292957839</v>
      </c>
      <c r="AJ116" s="749">
        <f t="shared" si="60"/>
        <v>86.642482546272987</v>
      </c>
      <c r="AK116" s="749">
        <f t="shared" si="60"/>
        <v>86.336255922780509</v>
      </c>
      <c r="AL116" s="749">
        <f t="shared" si="60"/>
        <v>86.030029803612607</v>
      </c>
      <c r="AM116" s="749">
        <f t="shared" si="60"/>
        <v>85.726964003619855</v>
      </c>
      <c r="AN116" s="749">
        <f t="shared" si="60"/>
        <v>85.423903946081424</v>
      </c>
      <c r="AO116" s="749">
        <f t="shared" si="60"/>
        <v>85.120849638339479</v>
      </c>
      <c r="AP116" s="749">
        <f t="shared" si="60"/>
        <v>84.817801087745465</v>
      </c>
      <c r="AQ116" s="749">
        <f t="shared" si="60"/>
        <v>84.514758301660265</v>
      </c>
      <c r="AR116" s="749">
        <f t="shared" si="60"/>
        <v>84.211721287454196</v>
      </c>
      <c r="AS116" s="749">
        <f t="shared" si="60"/>
        <v>83.908690052506984</v>
      </c>
      <c r="AT116" s="749">
        <f t="shared" si="60"/>
        <v>83.60566460420776</v>
      </c>
      <c r="AU116" s="749">
        <f t="shared" si="60"/>
        <v>83.302644949955152</v>
      </c>
    </row>
    <row r="117" spans="4:48" s="576" customFormat="1">
      <c r="D117" s="744"/>
      <c r="E117" s="744" t="s">
        <v>668</v>
      </c>
      <c r="F117" s="747" t="s">
        <v>1113</v>
      </c>
      <c r="G117" s="748">
        <f>G116+$E$177</f>
        <v>191.9869989234187</v>
      </c>
      <c r="H117" s="748">
        <f t="shared" ref="H117:AU117" si="61">H116+$E$177</f>
        <v>222.08699892341872</v>
      </c>
      <c r="I117" s="748">
        <f t="shared" si="61"/>
        <v>235.88699892341867</v>
      </c>
      <c r="J117" s="748">
        <f t="shared" si="61"/>
        <v>221.18699892341868</v>
      </c>
      <c r="K117" s="748">
        <f t="shared" si="61"/>
        <v>213.9869989234187</v>
      </c>
      <c r="L117" s="748">
        <f t="shared" si="61"/>
        <v>177.3869989234187</v>
      </c>
      <c r="M117" s="748">
        <f t="shared" si="61"/>
        <v>174.4869989234187</v>
      </c>
      <c r="N117" s="748">
        <f t="shared" si="61"/>
        <v>178.58699892341872</v>
      </c>
      <c r="O117" s="749">
        <f t="shared" si="61"/>
        <v>201.58807471814222</v>
      </c>
      <c r="P117" s="749">
        <f t="shared" si="61"/>
        <v>196.93396253889108</v>
      </c>
      <c r="Q117" s="749">
        <f t="shared" si="61"/>
        <v>195.45402400996551</v>
      </c>
      <c r="R117" s="749">
        <f t="shared" si="61"/>
        <v>173.46993859860214</v>
      </c>
      <c r="S117" s="749">
        <f t="shared" si="61"/>
        <v>176.87843746930616</v>
      </c>
      <c r="T117" s="749">
        <f t="shared" si="61"/>
        <v>179.20152136446148</v>
      </c>
      <c r="U117" s="749">
        <f t="shared" si="61"/>
        <v>180.89973050942663</v>
      </c>
      <c r="V117" s="749">
        <f t="shared" si="61"/>
        <v>182.13620833595482</v>
      </c>
      <c r="W117" s="749">
        <f t="shared" si="61"/>
        <v>183.50167167426395</v>
      </c>
      <c r="X117" s="749">
        <f t="shared" si="61"/>
        <v>184.83981044110857</v>
      </c>
      <c r="Y117" s="749">
        <f t="shared" si="61"/>
        <v>186.07093173814874</v>
      </c>
      <c r="Z117" s="749">
        <f t="shared" si="61"/>
        <v>187.36368362508182</v>
      </c>
      <c r="AA117" s="749">
        <f t="shared" si="61"/>
        <v>188.58687352601925</v>
      </c>
      <c r="AB117" s="749">
        <f t="shared" si="61"/>
        <v>188.2807297638164</v>
      </c>
      <c r="AC117" s="749">
        <f t="shared" si="61"/>
        <v>187.97385381731704</v>
      </c>
      <c r="AD117" s="749">
        <f t="shared" si="61"/>
        <v>187.66824490958999</v>
      </c>
      <c r="AE117" s="749">
        <f t="shared" si="61"/>
        <v>187.36186840457654</v>
      </c>
      <c r="AF117" s="749">
        <f t="shared" si="61"/>
        <v>187.05558859602792</v>
      </c>
      <c r="AG117" s="749">
        <f t="shared" si="61"/>
        <v>186.74838290880265</v>
      </c>
      <c r="AH117" s="749">
        <f t="shared" si="61"/>
        <v>186.44225980069484</v>
      </c>
      <c r="AI117" s="749">
        <f t="shared" si="61"/>
        <v>186.13540621637654</v>
      </c>
      <c r="AJ117" s="749">
        <f t="shared" si="61"/>
        <v>185.8294814696917</v>
      </c>
      <c r="AK117" s="749">
        <f t="shared" si="61"/>
        <v>185.52325484619922</v>
      </c>
      <c r="AL117" s="749">
        <f t="shared" si="61"/>
        <v>185.21702872703131</v>
      </c>
      <c r="AM117" s="749">
        <f t="shared" si="61"/>
        <v>184.91396292703854</v>
      </c>
      <c r="AN117" s="749">
        <f t="shared" si="61"/>
        <v>184.61090286950014</v>
      </c>
      <c r="AO117" s="749">
        <f t="shared" si="61"/>
        <v>184.30784856175819</v>
      </c>
      <c r="AP117" s="749">
        <f t="shared" si="61"/>
        <v>184.00480001116415</v>
      </c>
      <c r="AQ117" s="749">
        <f t="shared" si="61"/>
        <v>183.70175722507895</v>
      </c>
      <c r="AR117" s="749">
        <f t="shared" si="61"/>
        <v>183.39872021087291</v>
      </c>
      <c r="AS117" s="749">
        <f t="shared" si="61"/>
        <v>183.09568897592567</v>
      </c>
      <c r="AT117" s="749">
        <f t="shared" si="61"/>
        <v>182.79266352762647</v>
      </c>
      <c r="AU117" s="749">
        <f t="shared" si="61"/>
        <v>182.48964387337384</v>
      </c>
    </row>
    <row r="118" spans="4:48" s="576" customFormat="1">
      <c r="D118" s="744"/>
      <c r="E118" s="744" t="s">
        <v>670</v>
      </c>
      <c r="F118" s="747" t="s">
        <v>1113</v>
      </c>
      <c r="G118" s="748">
        <f>G117*1.1</f>
        <v>211.18569881576059</v>
      </c>
      <c r="H118" s="748">
        <f t="shared" ref="H118:AU118" si="62">H117+$E$185</f>
        <v>223.03699892341871</v>
      </c>
      <c r="I118" s="748">
        <f t="shared" si="62"/>
        <v>236.83699892341866</v>
      </c>
      <c r="J118" s="748">
        <f t="shared" si="62"/>
        <v>222.13699892341867</v>
      </c>
      <c r="K118" s="748">
        <f t="shared" si="62"/>
        <v>214.93699892341868</v>
      </c>
      <c r="L118" s="748">
        <f t="shared" si="62"/>
        <v>178.33699892341869</v>
      </c>
      <c r="M118" s="748">
        <f t="shared" si="62"/>
        <v>175.43699892341868</v>
      </c>
      <c r="N118" s="748">
        <f t="shared" si="62"/>
        <v>179.53699892341871</v>
      </c>
      <c r="O118" s="749">
        <f t="shared" si="62"/>
        <v>202.53807471814221</v>
      </c>
      <c r="P118" s="749">
        <f t="shared" si="62"/>
        <v>197.88396253889107</v>
      </c>
      <c r="Q118" s="749">
        <f t="shared" si="62"/>
        <v>196.4040240099655</v>
      </c>
      <c r="R118" s="749">
        <f t="shared" si="62"/>
        <v>174.41993859860213</v>
      </c>
      <c r="S118" s="749">
        <f t="shared" si="62"/>
        <v>177.82843746930615</v>
      </c>
      <c r="T118" s="749">
        <f t="shared" si="62"/>
        <v>180.15152136446147</v>
      </c>
      <c r="U118" s="749">
        <f t="shared" si="62"/>
        <v>181.84973050942662</v>
      </c>
      <c r="V118" s="749">
        <f t="shared" si="62"/>
        <v>183.08620833595481</v>
      </c>
      <c r="W118" s="749">
        <f t="shared" si="62"/>
        <v>184.45167167426393</v>
      </c>
      <c r="X118" s="749">
        <f t="shared" si="62"/>
        <v>185.78981044110856</v>
      </c>
      <c r="Y118" s="749">
        <f t="shared" si="62"/>
        <v>187.02093173814873</v>
      </c>
      <c r="Z118" s="749">
        <f t="shared" si="62"/>
        <v>188.31368362508181</v>
      </c>
      <c r="AA118" s="749">
        <f t="shared" si="62"/>
        <v>189.53687352601924</v>
      </c>
      <c r="AB118" s="749">
        <f t="shared" si="62"/>
        <v>189.23072976381638</v>
      </c>
      <c r="AC118" s="749">
        <f t="shared" si="62"/>
        <v>188.92385381731702</v>
      </c>
      <c r="AD118" s="749">
        <f t="shared" si="62"/>
        <v>188.61824490958998</v>
      </c>
      <c r="AE118" s="749">
        <f t="shared" si="62"/>
        <v>188.31186840457653</v>
      </c>
      <c r="AF118" s="749">
        <f t="shared" si="62"/>
        <v>188.00558859602791</v>
      </c>
      <c r="AG118" s="749">
        <f t="shared" si="62"/>
        <v>187.69838290880264</v>
      </c>
      <c r="AH118" s="749">
        <f t="shared" si="62"/>
        <v>187.39225980069483</v>
      </c>
      <c r="AI118" s="749">
        <f t="shared" si="62"/>
        <v>187.08540621637653</v>
      </c>
      <c r="AJ118" s="749">
        <f t="shared" si="62"/>
        <v>186.77948146969169</v>
      </c>
      <c r="AK118" s="749">
        <f t="shared" si="62"/>
        <v>186.47325484619921</v>
      </c>
      <c r="AL118" s="749">
        <f t="shared" si="62"/>
        <v>186.16702872703129</v>
      </c>
      <c r="AM118" s="749">
        <f t="shared" si="62"/>
        <v>185.86396292703853</v>
      </c>
      <c r="AN118" s="749">
        <f t="shared" si="62"/>
        <v>185.56090286950013</v>
      </c>
      <c r="AO118" s="749">
        <f t="shared" si="62"/>
        <v>185.25784856175818</v>
      </c>
      <c r="AP118" s="749">
        <f t="shared" si="62"/>
        <v>184.95480001116414</v>
      </c>
      <c r="AQ118" s="749">
        <f t="shared" si="62"/>
        <v>184.65175722507894</v>
      </c>
      <c r="AR118" s="749">
        <f t="shared" si="62"/>
        <v>184.3487202108729</v>
      </c>
      <c r="AS118" s="749">
        <f t="shared" si="62"/>
        <v>184.04568897592566</v>
      </c>
      <c r="AT118" s="749">
        <f t="shared" si="62"/>
        <v>183.74266352762646</v>
      </c>
      <c r="AU118" s="749">
        <f t="shared" si="62"/>
        <v>183.43964387337383</v>
      </c>
    </row>
    <row r="119" spans="4:48" s="576" customFormat="1">
      <c r="D119" s="744"/>
      <c r="E119" s="744" t="s">
        <v>902</v>
      </c>
      <c r="F119" s="747" t="s">
        <v>1113</v>
      </c>
      <c r="G119" s="748">
        <f>G118*2</f>
        <v>422.37139763152118</v>
      </c>
      <c r="H119" s="748">
        <f t="shared" ref="H119:AU119" si="63">H118*2</f>
        <v>446.07399784683741</v>
      </c>
      <c r="I119" s="748">
        <f t="shared" si="63"/>
        <v>473.67399784683732</v>
      </c>
      <c r="J119" s="748">
        <f t="shared" si="63"/>
        <v>444.27399784683735</v>
      </c>
      <c r="K119" s="748">
        <f t="shared" si="63"/>
        <v>429.87399784683737</v>
      </c>
      <c r="L119" s="748">
        <f>L118*2</f>
        <v>356.67399784683738</v>
      </c>
      <c r="M119" s="748">
        <f t="shared" si="63"/>
        <v>350.87399784683737</v>
      </c>
      <c r="N119" s="748">
        <f t="shared" si="63"/>
        <v>359.07399784683741</v>
      </c>
      <c r="O119" s="749">
        <f>O118*2</f>
        <v>405.07614943628442</v>
      </c>
      <c r="P119" s="749">
        <f t="shared" si="63"/>
        <v>395.76792507778214</v>
      </c>
      <c r="Q119" s="749">
        <f t="shared" si="63"/>
        <v>392.80804801993099</v>
      </c>
      <c r="R119" s="749">
        <f t="shared" si="63"/>
        <v>348.83987719720426</v>
      </c>
      <c r="S119" s="749">
        <f t="shared" si="63"/>
        <v>355.6568749386123</v>
      </c>
      <c r="T119" s="749">
        <f t="shared" si="63"/>
        <v>360.30304272892295</v>
      </c>
      <c r="U119" s="749">
        <f t="shared" si="63"/>
        <v>363.69946101885324</v>
      </c>
      <c r="V119" s="749">
        <f t="shared" si="63"/>
        <v>366.17241667190962</v>
      </c>
      <c r="W119" s="749">
        <f t="shared" si="63"/>
        <v>368.90334334852787</v>
      </c>
      <c r="X119" s="749">
        <f t="shared" si="63"/>
        <v>371.57962088221711</v>
      </c>
      <c r="Y119" s="749">
        <f t="shared" si="63"/>
        <v>374.04186347629746</v>
      </c>
      <c r="Z119" s="749">
        <f t="shared" si="63"/>
        <v>376.62736725016362</v>
      </c>
      <c r="AA119" s="749">
        <f t="shared" si="63"/>
        <v>379.07374705203847</v>
      </c>
      <c r="AB119" s="749">
        <f t="shared" si="63"/>
        <v>378.46145952763277</v>
      </c>
      <c r="AC119" s="749">
        <f t="shared" si="63"/>
        <v>377.84770763463405</v>
      </c>
      <c r="AD119" s="749">
        <f t="shared" si="63"/>
        <v>377.23648981917995</v>
      </c>
      <c r="AE119" s="749">
        <f t="shared" si="63"/>
        <v>376.62373680915306</v>
      </c>
      <c r="AF119" s="749">
        <f t="shared" si="63"/>
        <v>376.01117719205581</v>
      </c>
      <c r="AG119" s="749">
        <f t="shared" si="63"/>
        <v>375.39676581760529</v>
      </c>
      <c r="AH119" s="749">
        <f t="shared" si="63"/>
        <v>374.78451960138966</v>
      </c>
      <c r="AI119" s="749">
        <f t="shared" si="63"/>
        <v>374.17081243275305</v>
      </c>
      <c r="AJ119" s="749">
        <f t="shared" si="63"/>
        <v>373.55896293938338</v>
      </c>
      <c r="AK119" s="749">
        <f t="shared" si="63"/>
        <v>372.94650969239842</v>
      </c>
      <c r="AL119" s="749">
        <f t="shared" si="63"/>
        <v>372.33405745406259</v>
      </c>
      <c r="AM119" s="749">
        <f t="shared" si="63"/>
        <v>371.72792585407706</v>
      </c>
      <c r="AN119" s="749">
        <f t="shared" si="63"/>
        <v>371.12180573900025</v>
      </c>
      <c r="AO119" s="749">
        <f t="shared" si="63"/>
        <v>370.51569712351636</v>
      </c>
      <c r="AP119" s="749">
        <f t="shared" si="63"/>
        <v>369.90960002232828</v>
      </c>
      <c r="AQ119" s="749">
        <f t="shared" si="63"/>
        <v>369.30351445015788</v>
      </c>
      <c r="AR119" s="749">
        <f t="shared" si="63"/>
        <v>368.6974404217458</v>
      </c>
      <c r="AS119" s="749">
        <f t="shared" si="63"/>
        <v>368.09137795185131</v>
      </c>
      <c r="AT119" s="749">
        <f t="shared" si="63"/>
        <v>367.48532705525292</v>
      </c>
      <c r="AU119" s="749">
        <f t="shared" si="63"/>
        <v>366.87928774674765</v>
      </c>
    </row>
    <row r="120" spans="4:48" s="576" customFormat="1">
      <c r="D120" s="744"/>
      <c r="E120" s="744" t="s">
        <v>45</v>
      </c>
      <c r="F120" s="747" t="s">
        <v>1113</v>
      </c>
      <c r="G120" s="748">
        <f>G211</f>
        <v>105.4</v>
      </c>
      <c r="H120" s="748">
        <f t="shared" ref="H120:N120" si="64">H211</f>
        <v>117.4</v>
      </c>
      <c r="I120" s="748">
        <f t="shared" si="64"/>
        <v>134.19999999999999</v>
      </c>
      <c r="J120" s="748">
        <f t="shared" si="64"/>
        <v>123.2</v>
      </c>
      <c r="K120" s="748">
        <f t="shared" si="64"/>
        <v>113.5</v>
      </c>
      <c r="L120" s="748">
        <f>L211</f>
        <v>77</v>
      </c>
      <c r="M120" s="748">
        <f t="shared" si="64"/>
        <v>74</v>
      </c>
      <c r="N120" s="748">
        <f t="shared" si="64"/>
        <v>78.2</v>
      </c>
      <c r="O120" s="749">
        <f>INDEX($D$277:$O$309,MATCH(O$23,$C$277:$C$309,0),MATCH($E120,$D$274:$O$274,0))</f>
        <v>101.50107579472352</v>
      </c>
      <c r="P120" s="749">
        <f t="shared" ref="P120:AU120" si="65">INDEX($D$277:$O$309,MATCH(P$23,$C$277:$C$309,0),MATCH($E120,$D$274:$O$274,0))</f>
        <v>95.586963615472371</v>
      </c>
      <c r="Q120" s="749">
        <f t="shared" si="65"/>
        <v>94.107025086546813</v>
      </c>
      <c r="R120" s="749">
        <f t="shared" si="65"/>
        <v>72.122939675183432</v>
      </c>
      <c r="S120" s="749">
        <f t="shared" si="65"/>
        <v>75.531438545887454</v>
      </c>
      <c r="T120" s="749">
        <f t="shared" si="65"/>
        <v>77.854522441042789</v>
      </c>
      <c r="U120" s="749">
        <f t="shared" si="65"/>
        <v>79.552731586007937</v>
      </c>
      <c r="V120" s="749">
        <f t="shared" si="65"/>
        <v>80.789209412536124</v>
      </c>
      <c r="W120" s="749">
        <f t="shared" si="65"/>
        <v>82.154672750845265</v>
      </c>
      <c r="X120" s="749">
        <f t="shared" si="65"/>
        <v>83.492811517689887</v>
      </c>
      <c r="Y120" s="749">
        <f t="shared" si="65"/>
        <v>84.723932814730048</v>
      </c>
      <c r="Z120" s="749">
        <f t="shared" si="65"/>
        <v>86.016684701663124</v>
      </c>
      <c r="AA120" s="749">
        <f t="shared" si="65"/>
        <v>87.239874602600565</v>
      </c>
      <c r="AB120" s="749">
        <f t="shared" si="65"/>
        <v>86.933730840397715</v>
      </c>
      <c r="AC120" s="749">
        <f t="shared" si="65"/>
        <v>86.626854893898326</v>
      </c>
      <c r="AD120" s="749">
        <f t="shared" si="65"/>
        <v>86.321245986171292</v>
      </c>
      <c r="AE120" s="749">
        <f t="shared" si="65"/>
        <v>86.014869481157845</v>
      </c>
      <c r="AF120" s="749">
        <f t="shared" si="65"/>
        <v>85.708589672609207</v>
      </c>
      <c r="AG120" s="749">
        <f t="shared" si="65"/>
        <v>85.401383985383958</v>
      </c>
      <c r="AH120" s="749">
        <f t="shared" si="65"/>
        <v>85.095260877276161</v>
      </c>
      <c r="AI120" s="749">
        <f t="shared" si="65"/>
        <v>84.788407292957842</v>
      </c>
      <c r="AJ120" s="749">
        <f t="shared" si="65"/>
        <v>84.48248254627299</v>
      </c>
      <c r="AK120" s="749">
        <f t="shared" si="65"/>
        <v>84.176255922780513</v>
      </c>
      <c r="AL120" s="749">
        <f t="shared" si="65"/>
        <v>83.87002980361261</v>
      </c>
      <c r="AM120" s="749">
        <f t="shared" si="65"/>
        <v>83.566964003619859</v>
      </c>
      <c r="AN120" s="749">
        <f t="shared" si="65"/>
        <v>83.263903946081427</v>
      </c>
      <c r="AO120" s="749">
        <f t="shared" si="65"/>
        <v>82.960849638339482</v>
      </c>
      <c r="AP120" s="749">
        <f t="shared" si="65"/>
        <v>82.657801087745469</v>
      </c>
      <c r="AQ120" s="749">
        <f t="shared" si="65"/>
        <v>82.354758301660269</v>
      </c>
      <c r="AR120" s="749">
        <f t="shared" si="65"/>
        <v>82.0517212874542</v>
      </c>
      <c r="AS120" s="749">
        <f t="shared" si="65"/>
        <v>81.748690052506987</v>
      </c>
      <c r="AT120" s="749">
        <f t="shared" si="65"/>
        <v>81.445664604207764</v>
      </c>
      <c r="AU120" s="749">
        <f t="shared" si="65"/>
        <v>81.142644949955155</v>
      </c>
    </row>
    <row r="121" spans="4:48" s="576" customFormat="1">
      <c r="D121" s="744"/>
      <c r="E121" s="744" t="s">
        <v>664</v>
      </c>
      <c r="F121" s="747" t="s">
        <v>1113</v>
      </c>
      <c r="G121" s="748">
        <f>G120+$E$176</f>
        <v>169.073753033598</v>
      </c>
      <c r="H121" s="748">
        <f t="shared" ref="H121:N121" si="66">H120+$E$176</f>
        <v>181.073753033598</v>
      </c>
      <c r="I121" s="748">
        <f t="shared" si="66"/>
        <v>197.87375303359798</v>
      </c>
      <c r="J121" s="748">
        <f t="shared" si="66"/>
        <v>186.87375303359801</v>
      </c>
      <c r="K121" s="748">
        <f t="shared" si="66"/>
        <v>177.17375303359799</v>
      </c>
      <c r="L121" s="748">
        <f t="shared" si="66"/>
        <v>140.67375303359799</v>
      </c>
      <c r="M121" s="748">
        <f t="shared" si="66"/>
        <v>137.67375303359799</v>
      </c>
      <c r="N121" s="748">
        <f t="shared" si="66"/>
        <v>141.87375303359801</v>
      </c>
      <c r="O121" s="749">
        <f>O120+$E$176</f>
        <v>165.17482882832152</v>
      </c>
      <c r="P121" s="749">
        <f t="shared" ref="P121" si="67">P120+$E$176</f>
        <v>159.26071664907036</v>
      </c>
      <c r="Q121" s="749">
        <f t="shared" ref="Q121" si="68">Q120+$E$176</f>
        <v>157.78077812014482</v>
      </c>
      <c r="R121" s="749">
        <f t="shared" ref="R121" si="69">R120+$E$176</f>
        <v>135.79669270878142</v>
      </c>
      <c r="S121" s="749">
        <f t="shared" ref="S121" si="70">S120+$E$176</f>
        <v>139.20519157948544</v>
      </c>
      <c r="T121" s="749">
        <f t="shared" ref="T121" si="71">T120+$E$176</f>
        <v>141.52827547464079</v>
      </c>
      <c r="U121" s="749">
        <f t="shared" ref="U121" si="72">U120+$E$176</f>
        <v>143.22648461960594</v>
      </c>
      <c r="V121" s="749">
        <f t="shared" ref="V121" si="73">V120+$E$176</f>
        <v>144.46296244613413</v>
      </c>
      <c r="W121" s="749">
        <f t="shared" ref="W121" si="74">W120+$E$176</f>
        <v>145.82842578444325</v>
      </c>
      <c r="X121" s="749">
        <f t="shared" ref="X121" si="75">X120+$E$176</f>
        <v>147.16656455128788</v>
      </c>
      <c r="Y121" s="749">
        <f t="shared" ref="Y121" si="76">Y120+$E$176</f>
        <v>148.39768584832805</v>
      </c>
      <c r="Z121" s="749">
        <f t="shared" ref="Z121" si="77">Z120+$E$176</f>
        <v>149.69043773526113</v>
      </c>
      <c r="AA121" s="749">
        <f t="shared" ref="AA121" si="78">AA120+$E$176</f>
        <v>150.91362763619856</v>
      </c>
      <c r="AB121" s="749">
        <f t="shared" ref="AB121" si="79">AB120+$E$176</f>
        <v>150.6074838739957</v>
      </c>
      <c r="AC121" s="749">
        <f t="shared" ref="AC121" si="80">AC120+$E$176</f>
        <v>150.30060792749632</v>
      </c>
      <c r="AD121" s="749">
        <f t="shared" ref="AD121" si="81">AD120+$E$176</f>
        <v>149.9949990197693</v>
      </c>
      <c r="AE121" s="749">
        <f t="shared" ref="AE121" si="82">AE120+$E$176</f>
        <v>149.68862251475585</v>
      </c>
      <c r="AF121" s="749">
        <f t="shared" ref="AF121" si="83">AF120+$E$176</f>
        <v>149.3823427062072</v>
      </c>
      <c r="AG121" s="749">
        <f t="shared" ref="AG121" si="84">AG120+$E$176</f>
        <v>149.07513701898196</v>
      </c>
      <c r="AH121" s="749">
        <f t="shared" ref="AH121" si="85">AH120+$E$176</f>
        <v>148.76901391087415</v>
      </c>
      <c r="AI121" s="749">
        <f t="shared" ref="AI121" si="86">AI120+$E$176</f>
        <v>148.46216032655585</v>
      </c>
      <c r="AJ121" s="749">
        <f t="shared" ref="AJ121" si="87">AJ120+$E$176</f>
        <v>148.15623557987098</v>
      </c>
      <c r="AK121" s="749">
        <f t="shared" ref="AK121" si="88">AK120+$E$176</f>
        <v>147.8500089563785</v>
      </c>
      <c r="AL121" s="749">
        <f t="shared" ref="AL121" si="89">AL120+$E$176</f>
        <v>147.54378283721061</v>
      </c>
      <c r="AM121" s="749">
        <f t="shared" ref="AM121" si="90">AM120+$E$176</f>
        <v>147.24071703721785</v>
      </c>
      <c r="AN121" s="749">
        <f t="shared" ref="AN121" si="91">AN120+$E$176</f>
        <v>146.93765697967942</v>
      </c>
      <c r="AO121" s="749">
        <f t="shared" ref="AO121" si="92">AO120+$E$176</f>
        <v>146.63460267193747</v>
      </c>
      <c r="AP121" s="749">
        <f t="shared" ref="AP121" si="93">AP120+$E$176</f>
        <v>146.33155412134346</v>
      </c>
      <c r="AQ121" s="749">
        <f t="shared" ref="AQ121" si="94">AQ120+$E$176</f>
        <v>146.02851133525826</v>
      </c>
      <c r="AR121" s="749">
        <f t="shared" ref="AR121" si="95">AR120+$E$176</f>
        <v>145.72547432105219</v>
      </c>
      <c r="AS121" s="749">
        <f t="shared" ref="AS121" si="96">AS120+$E$176</f>
        <v>145.42244308610498</v>
      </c>
      <c r="AT121" s="749">
        <f t="shared" ref="AT121" si="97">AT120+$E$176</f>
        <v>145.11941763780575</v>
      </c>
      <c r="AU121" s="749">
        <f t="shared" ref="AU121" si="98">AU120+$E$176</f>
        <v>144.81639798355314</v>
      </c>
    </row>
    <row r="122" spans="4:48" s="576" customFormat="1">
      <c r="D122" s="744"/>
      <c r="E122" s="744" t="s">
        <v>666</v>
      </c>
      <c r="F122" s="747" t="s">
        <v>1113</v>
      </c>
      <c r="G122" s="748">
        <f>G121*1.1</f>
        <v>185.98112833695782</v>
      </c>
      <c r="H122" s="748">
        <f t="shared" ref="H122:AU122" si="99">H121*1.1</f>
        <v>199.18112833695781</v>
      </c>
      <c r="I122" s="748">
        <f t="shared" si="99"/>
        <v>217.6611283369578</v>
      </c>
      <c r="J122" s="748">
        <f t="shared" si="99"/>
        <v>205.56112833695784</v>
      </c>
      <c r="K122" s="748">
        <f t="shared" si="99"/>
        <v>194.89112833695779</v>
      </c>
      <c r="L122" s="748">
        <f t="shared" si="99"/>
        <v>154.74112833695781</v>
      </c>
      <c r="M122" s="748">
        <f t="shared" si="99"/>
        <v>151.4411283369578</v>
      </c>
      <c r="N122" s="748">
        <f t="shared" si="99"/>
        <v>156.06112833695781</v>
      </c>
      <c r="O122" s="749">
        <f t="shared" si="99"/>
        <v>181.69231171115368</v>
      </c>
      <c r="P122" s="749">
        <f t="shared" si="99"/>
        <v>175.18678831397742</v>
      </c>
      <c r="Q122" s="749">
        <f t="shared" si="99"/>
        <v>173.5588559321593</v>
      </c>
      <c r="R122" s="749">
        <f t="shared" si="99"/>
        <v>149.37636197965958</v>
      </c>
      <c r="S122" s="749">
        <f t="shared" si="99"/>
        <v>153.12571073743399</v>
      </c>
      <c r="T122" s="749">
        <f t="shared" si="99"/>
        <v>155.68110302210488</v>
      </c>
      <c r="U122" s="749">
        <f t="shared" si="99"/>
        <v>157.54913308156654</v>
      </c>
      <c r="V122" s="749">
        <f t="shared" si="99"/>
        <v>158.90925869074755</v>
      </c>
      <c r="W122" s="749">
        <f t="shared" si="99"/>
        <v>160.4112683628876</v>
      </c>
      <c r="X122" s="749">
        <f t="shared" si="99"/>
        <v>161.88322100641668</v>
      </c>
      <c r="Y122" s="749">
        <f t="shared" si="99"/>
        <v>163.23745443316088</v>
      </c>
      <c r="Z122" s="749">
        <f t="shared" si="99"/>
        <v>164.65948150878725</v>
      </c>
      <c r="AA122" s="749">
        <f t="shared" si="99"/>
        <v>166.00499039981841</v>
      </c>
      <c r="AB122" s="749">
        <f t="shared" si="99"/>
        <v>165.66823226139527</v>
      </c>
      <c r="AC122" s="749">
        <f t="shared" si="99"/>
        <v>165.33066872024597</v>
      </c>
      <c r="AD122" s="749">
        <f t="shared" si="99"/>
        <v>164.99449892174624</v>
      </c>
      <c r="AE122" s="749">
        <f t="shared" si="99"/>
        <v>164.65748476623145</v>
      </c>
      <c r="AF122" s="749">
        <f t="shared" si="99"/>
        <v>164.32057697682794</v>
      </c>
      <c r="AG122" s="749">
        <f t="shared" si="99"/>
        <v>163.98265072088017</v>
      </c>
      <c r="AH122" s="749">
        <f t="shared" si="99"/>
        <v>163.64591530196157</v>
      </c>
      <c r="AI122" s="749">
        <f t="shared" si="99"/>
        <v>163.30837635921145</v>
      </c>
      <c r="AJ122" s="749">
        <f t="shared" si="99"/>
        <v>162.9718591378581</v>
      </c>
      <c r="AK122" s="749">
        <f t="shared" si="99"/>
        <v>162.63500985201637</v>
      </c>
      <c r="AL122" s="749">
        <f t="shared" si="99"/>
        <v>162.2981611209317</v>
      </c>
      <c r="AM122" s="749">
        <f t="shared" si="99"/>
        <v>161.96478874093964</v>
      </c>
      <c r="AN122" s="749">
        <f t="shared" si="99"/>
        <v>161.63142267764738</v>
      </c>
      <c r="AO122" s="749">
        <f t="shared" si="99"/>
        <v>161.29806293913123</v>
      </c>
      <c r="AP122" s="749">
        <f t="shared" si="99"/>
        <v>160.96470953347782</v>
      </c>
      <c r="AQ122" s="749">
        <f t="shared" si="99"/>
        <v>160.63136246878409</v>
      </c>
      <c r="AR122" s="749">
        <f t="shared" si="99"/>
        <v>160.29802175315743</v>
      </c>
      <c r="AS122" s="749">
        <f t="shared" si="99"/>
        <v>159.9646873947155</v>
      </c>
      <c r="AT122" s="749">
        <f t="shared" si="99"/>
        <v>159.63135940158634</v>
      </c>
      <c r="AU122" s="749">
        <f t="shared" si="99"/>
        <v>159.29803778190848</v>
      </c>
    </row>
    <row r="123" spans="4:48" s="576" customFormat="1">
      <c r="D123" s="744"/>
      <c r="E123" s="744" t="s">
        <v>778</v>
      </c>
      <c r="F123" s="747" t="s">
        <v>1113</v>
      </c>
      <c r="G123" s="748">
        <f>G122</f>
        <v>185.98112833695782</v>
      </c>
      <c r="H123" s="748">
        <f t="shared" ref="H123:AU123" si="100">H122</f>
        <v>199.18112833695781</v>
      </c>
      <c r="I123" s="748">
        <f t="shared" si="100"/>
        <v>217.6611283369578</v>
      </c>
      <c r="J123" s="748">
        <f t="shared" si="100"/>
        <v>205.56112833695784</v>
      </c>
      <c r="K123" s="748">
        <f t="shared" si="100"/>
        <v>194.89112833695779</v>
      </c>
      <c r="L123" s="748">
        <f t="shared" si="100"/>
        <v>154.74112833695781</v>
      </c>
      <c r="M123" s="748">
        <f t="shared" si="100"/>
        <v>151.4411283369578</v>
      </c>
      <c r="N123" s="748">
        <f t="shared" si="100"/>
        <v>156.06112833695781</v>
      </c>
      <c r="O123" s="749">
        <f t="shared" si="100"/>
        <v>181.69231171115368</v>
      </c>
      <c r="P123" s="749">
        <f t="shared" si="100"/>
        <v>175.18678831397742</v>
      </c>
      <c r="Q123" s="749">
        <f t="shared" si="100"/>
        <v>173.5588559321593</v>
      </c>
      <c r="R123" s="749">
        <f t="shared" si="100"/>
        <v>149.37636197965958</v>
      </c>
      <c r="S123" s="749">
        <f t="shared" si="100"/>
        <v>153.12571073743399</v>
      </c>
      <c r="T123" s="749">
        <f t="shared" si="100"/>
        <v>155.68110302210488</v>
      </c>
      <c r="U123" s="749">
        <f t="shared" si="100"/>
        <v>157.54913308156654</v>
      </c>
      <c r="V123" s="749">
        <f t="shared" si="100"/>
        <v>158.90925869074755</v>
      </c>
      <c r="W123" s="749">
        <f t="shared" si="100"/>
        <v>160.4112683628876</v>
      </c>
      <c r="X123" s="749">
        <f t="shared" si="100"/>
        <v>161.88322100641668</v>
      </c>
      <c r="Y123" s="749">
        <f t="shared" si="100"/>
        <v>163.23745443316088</v>
      </c>
      <c r="Z123" s="749">
        <f t="shared" si="100"/>
        <v>164.65948150878725</v>
      </c>
      <c r="AA123" s="749">
        <f t="shared" si="100"/>
        <v>166.00499039981841</v>
      </c>
      <c r="AB123" s="749">
        <f t="shared" si="100"/>
        <v>165.66823226139527</v>
      </c>
      <c r="AC123" s="749">
        <f t="shared" si="100"/>
        <v>165.33066872024597</v>
      </c>
      <c r="AD123" s="749">
        <f t="shared" si="100"/>
        <v>164.99449892174624</v>
      </c>
      <c r="AE123" s="749">
        <f t="shared" si="100"/>
        <v>164.65748476623145</v>
      </c>
      <c r="AF123" s="749">
        <f t="shared" si="100"/>
        <v>164.32057697682794</v>
      </c>
      <c r="AG123" s="749">
        <f t="shared" si="100"/>
        <v>163.98265072088017</v>
      </c>
      <c r="AH123" s="749">
        <f t="shared" si="100"/>
        <v>163.64591530196157</v>
      </c>
      <c r="AI123" s="749">
        <f t="shared" si="100"/>
        <v>163.30837635921145</v>
      </c>
      <c r="AJ123" s="749">
        <f t="shared" si="100"/>
        <v>162.9718591378581</v>
      </c>
      <c r="AK123" s="749">
        <f t="shared" si="100"/>
        <v>162.63500985201637</v>
      </c>
      <c r="AL123" s="749">
        <f t="shared" si="100"/>
        <v>162.2981611209317</v>
      </c>
      <c r="AM123" s="749">
        <f t="shared" si="100"/>
        <v>161.96478874093964</v>
      </c>
      <c r="AN123" s="749">
        <f t="shared" si="100"/>
        <v>161.63142267764738</v>
      </c>
      <c r="AO123" s="749">
        <f t="shared" si="100"/>
        <v>161.29806293913123</v>
      </c>
      <c r="AP123" s="749">
        <f t="shared" si="100"/>
        <v>160.96470953347782</v>
      </c>
      <c r="AQ123" s="749">
        <f t="shared" si="100"/>
        <v>160.63136246878409</v>
      </c>
      <c r="AR123" s="749">
        <f t="shared" si="100"/>
        <v>160.29802175315743</v>
      </c>
      <c r="AS123" s="749">
        <f t="shared" si="100"/>
        <v>159.9646873947155</v>
      </c>
      <c r="AT123" s="749">
        <f t="shared" si="100"/>
        <v>159.63135940158634</v>
      </c>
      <c r="AU123" s="749">
        <f t="shared" si="100"/>
        <v>159.29803778190848</v>
      </c>
    </row>
    <row r="124" spans="4:48" s="576" customFormat="1">
      <c r="D124" s="744"/>
      <c r="E124" s="744" t="s">
        <v>905</v>
      </c>
      <c r="F124" s="747" t="s">
        <v>1113</v>
      </c>
      <c r="G124" s="748">
        <f>G122*2</f>
        <v>371.96225667391565</v>
      </c>
      <c r="H124" s="748">
        <f t="shared" ref="H124:AU124" si="101">H122*2</f>
        <v>398.36225667391562</v>
      </c>
      <c r="I124" s="748">
        <f t="shared" si="101"/>
        <v>435.3222566739156</v>
      </c>
      <c r="J124" s="748">
        <f t="shared" si="101"/>
        <v>411.12225667391567</v>
      </c>
      <c r="K124" s="748">
        <f t="shared" si="101"/>
        <v>389.78225667391558</v>
      </c>
      <c r="L124" s="748">
        <f t="shared" si="101"/>
        <v>309.48225667391563</v>
      </c>
      <c r="M124" s="748">
        <f t="shared" si="101"/>
        <v>302.88225667391561</v>
      </c>
      <c r="N124" s="748">
        <f t="shared" si="101"/>
        <v>312.12225667391562</v>
      </c>
      <c r="O124" s="749">
        <f t="shared" si="101"/>
        <v>363.38462342230736</v>
      </c>
      <c r="P124" s="749">
        <f t="shared" si="101"/>
        <v>350.37357662795483</v>
      </c>
      <c r="Q124" s="749">
        <f t="shared" si="101"/>
        <v>347.11771186431861</v>
      </c>
      <c r="R124" s="749">
        <f t="shared" si="101"/>
        <v>298.75272395931916</v>
      </c>
      <c r="S124" s="749">
        <f t="shared" si="101"/>
        <v>306.25142147486798</v>
      </c>
      <c r="T124" s="749">
        <f t="shared" si="101"/>
        <v>311.36220604420976</v>
      </c>
      <c r="U124" s="749">
        <f t="shared" si="101"/>
        <v>315.09826616313308</v>
      </c>
      <c r="V124" s="749">
        <f t="shared" si="101"/>
        <v>317.8185173814951</v>
      </c>
      <c r="W124" s="749">
        <f t="shared" si="101"/>
        <v>320.82253672577519</v>
      </c>
      <c r="X124" s="749">
        <f t="shared" si="101"/>
        <v>323.76644201283335</v>
      </c>
      <c r="Y124" s="749">
        <f t="shared" si="101"/>
        <v>326.47490886632175</v>
      </c>
      <c r="Z124" s="749">
        <f t="shared" si="101"/>
        <v>329.3189630175745</v>
      </c>
      <c r="AA124" s="749">
        <f t="shared" si="101"/>
        <v>332.00998079963682</v>
      </c>
      <c r="AB124" s="749">
        <f t="shared" si="101"/>
        <v>331.33646452279055</v>
      </c>
      <c r="AC124" s="749">
        <f t="shared" si="101"/>
        <v>330.66133744049193</v>
      </c>
      <c r="AD124" s="749">
        <f t="shared" si="101"/>
        <v>329.98899784349248</v>
      </c>
      <c r="AE124" s="749">
        <f t="shared" si="101"/>
        <v>329.3149695324629</v>
      </c>
      <c r="AF124" s="749">
        <f t="shared" si="101"/>
        <v>328.64115395365587</v>
      </c>
      <c r="AG124" s="749">
        <f t="shared" si="101"/>
        <v>327.96530144176035</v>
      </c>
      <c r="AH124" s="749">
        <f t="shared" si="101"/>
        <v>327.29183060392313</v>
      </c>
      <c r="AI124" s="749">
        <f t="shared" si="101"/>
        <v>326.6167527184229</v>
      </c>
      <c r="AJ124" s="749">
        <f t="shared" si="101"/>
        <v>325.94371827571621</v>
      </c>
      <c r="AK124" s="749">
        <f t="shared" si="101"/>
        <v>325.27001970403273</v>
      </c>
      <c r="AL124" s="749">
        <f t="shared" si="101"/>
        <v>324.59632224186339</v>
      </c>
      <c r="AM124" s="749">
        <f t="shared" si="101"/>
        <v>323.92957748187928</v>
      </c>
      <c r="AN124" s="749">
        <f t="shared" si="101"/>
        <v>323.26284535529476</v>
      </c>
      <c r="AO124" s="749">
        <f t="shared" si="101"/>
        <v>322.59612587826246</v>
      </c>
      <c r="AP124" s="749">
        <f t="shared" si="101"/>
        <v>321.92941906695563</v>
      </c>
      <c r="AQ124" s="749">
        <f t="shared" si="101"/>
        <v>321.26272493756818</v>
      </c>
      <c r="AR124" s="749">
        <f t="shared" si="101"/>
        <v>320.59604350631486</v>
      </c>
      <c r="AS124" s="749">
        <f t="shared" si="101"/>
        <v>319.92937478943099</v>
      </c>
      <c r="AT124" s="749">
        <f t="shared" si="101"/>
        <v>319.26271880317267</v>
      </c>
      <c r="AU124" s="749">
        <f t="shared" si="101"/>
        <v>318.59607556381695</v>
      </c>
    </row>
    <row r="125" spans="4:48" s="576" customFormat="1">
      <c r="D125" s="744"/>
      <c r="E125" s="744" t="s">
        <v>83</v>
      </c>
      <c r="F125" s="747" t="s">
        <v>1113</v>
      </c>
      <c r="G125" s="748">
        <f>G212</f>
        <v>76.5</v>
      </c>
      <c r="H125" s="748">
        <f t="shared" ref="H125:N125" si="102">H212</f>
        <v>112.4</v>
      </c>
      <c r="I125" s="748">
        <f t="shared" si="102"/>
        <v>116.3</v>
      </c>
      <c r="J125" s="748">
        <f t="shared" si="102"/>
        <v>118.6</v>
      </c>
      <c r="K125" s="748">
        <f t="shared" si="102"/>
        <v>110.1</v>
      </c>
      <c r="L125" s="748">
        <f t="shared" si="102"/>
        <v>73.5</v>
      </c>
      <c r="M125" s="748">
        <f t="shared" si="102"/>
        <v>70.599999999999994</v>
      </c>
      <c r="N125" s="748">
        <f t="shared" si="102"/>
        <v>74.7</v>
      </c>
      <c r="O125" s="749">
        <f>INDEX($D$277:$O$309,MATCH(O$23,$C$277:$C$309,0),MATCH($E125,$D$274:$O$274,0))</f>
        <v>99.501075794723519</v>
      </c>
      <c r="P125" s="749">
        <f t="shared" ref="P125:AU125" si="103">INDEX($D$277:$O$309,MATCH(P$23,$C$277:$C$309,0),MATCH($E125,$D$274:$O$274,0))</f>
        <v>92.996963615472367</v>
      </c>
      <c r="Q125" s="749">
        <f t="shared" si="103"/>
        <v>91.517025086546809</v>
      </c>
      <c r="R125" s="749">
        <f t="shared" si="103"/>
        <v>69.532939675183428</v>
      </c>
      <c r="S125" s="749">
        <f t="shared" si="103"/>
        <v>72.941438545887451</v>
      </c>
      <c r="T125" s="749">
        <f t="shared" si="103"/>
        <v>75.264522441042786</v>
      </c>
      <c r="U125" s="749">
        <f t="shared" si="103"/>
        <v>76.962731586007934</v>
      </c>
      <c r="V125" s="749">
        <f t="shared" si="103"/>
        <v>78.199209412536121</v>
      </c>
      <c r="W125" s="749">
        <f t="shared" si="103"/>
        <v>79.564672750845261</v>
      </c>
      <c r="X125" s="749">
        <f t="shared" si="103"/>
        <v>80.902811517689884</v>
      </c>
      <c r="Y125" s="749">
        <f t="shared" si="103"/>
        <v>82.133932814730045</v>
      </c>
      <c r="Z125" s="749">
        <f t="shared" si="103"/>
        <v>83.42668470166312</v>
      </c>
      <c r="AA125" s="749">
        <f t="shared" si="103"/>
        <v>84.649874602600562</v>
      </c>
      <c r="AB125" s="749">
        <f t="shared" si="103"/>
        <v>84.343730840397711</v>
      </c>
      <c r="AC125" s="749">
        <f t="shared" si="103"/>
        <v>84.036854893898322</v>
      </c>
      <c r="AD125" s="749">
        <f t="shared" si="103"/>
        <v>83.731245986171288</v>
      </c>
      <c r="AE125" s="749">
        <f t="shared" si="103"/>
        <v>83.424869481157842</v>
      </c>
      <c r="AF125" s="749">
        <f t="shared" si="103"/>
        <v>83.118589672609204</v>
      </c>
      <c r="AG125" s="749">
        <f t="shared" si="103"/>
        <v>82.811383985383955</v>
      </c>
      <c r="AH125" s="749">
        <f t="shared" si="103"/>
        <v>82.505260877276157</v>
      </c>
      <c r="AI125" s="749">
        <f t="shared" si="103"/>
        <v>82.198407292957839</v>
      </c>
      <c r="AJ125" s="749">
        <f t="shared" si="103"/>
        <v>81.892482546272987</v>
      </c>
      <c r="AK125" s="749">
        <f t="shared" si="103"/>
        <v>81.586255922780509</v>
      </c>
      <c r="AL125" s="749">
        <f t="shared" si="103"/>
        <v>81.280029803612607</v>
      </c>
      <c r="AM125" s="749">
        <f t="shared" si="103"/>
        <v>80.976964003619855</v>
      </c>
      <c r="AN125" s="749">
        <f t="shared" si="103"/>
        <v>80.673903946081424</v>
      </c>
      <c r="AO125" s="749">
        <f t="shared" si="103"/>
        <v>80.370849638339479</v>
      </c>
      <c r="AP125" s="749">
        <f t="shared" si="103"/>
        <v>80.067801087745465</v>
      </c>
      <c r="AQ125" s="749">
        <f t="shared" si="103"/>
        <v>79.764758301660265</v>
      </c>
      <c r="AR125" s="749">
        <f t="shared" si="103"/>
        <v>79.461721287454196</v>
      </c>
      <c r="AS125" s="749">
        <f t="shared" si="103"/>
        <v>79.158690052506984</v>
      </c>
      <c r="AT125" s="749">
        <f t="shared" si="103"/>
        <v>78.85566460420776</v>
      </c>
      <c r="AU125" s="749">
        <f t="shared" si="103"/>
        <v>78.552644949955152</v>
      </c>
    </row>
    <row r="126" spans="4:48" s="576" customFormat="1">
      <c r="D126" s="744"/>
      <c r="E126" s="744" t="s">
        <v>656</v>
      </c>
      <c r="F126" s="747" t="s">
        <v>1113</v>
      </c>
      <c r="G126" s="748">
        <f>G125+$E$177</f>
        <v>175.68699892341868</v>
      </c>
      <c r="H126" s="748">
        <f t="shared" ref="H126:AU126" si="104">H125+$E$177</f>
        <v>211.58699892341872</v>
      </c>
      <c r="I126" s="748">
        <f t="shared" si="104"/>
        <v>215.4869989234187</v>
      </c>
      <c r="J126" s="748">
        <f t="shared" si="104"/>
        <v>217.78699892341871</v>
      </c>
      <c r="K126" s="748">
        <f t="shared" si="104"/>
        <v>209.28699892341871</v>
      </c>
      <c r="L126" s="748">
        <f t="shared" si="104"/>
        <v>172.68699892341868</v>
      </c>
      <c r="M126" s="748">
        <f t="shared" si="104"/>
        <v>169.78699892341871</v>
      </c>
      <c r="N126" s="748">
        <f t="shared" si="104"/>
        <v>173.8869989234187</v>
      </c>
      <c r="O126" s="749">
        <f t="shared" si="104"/>
        <v>198.68807471814222</v>
      </c>
      <c r="P126" s="749">
        <f t="shared" si="104"/>
        <v>192.18396253889108</v>
      </c>
      <c r="Q126" s="749">
        <f t="shared" si="104"/>
        <v>190.70402400996551</v>
      </c>
      <c r="R126" s="749">
        <f t="shared" si="104"/>
        <v>168.71993859860214</v>
      </c>
      <c r="S126" s="749">
        <f t="shared" si="104"/>
        <v>172.12843746930616</v>
      </c>
      <c r="T126" s="749">
        <f t="shared" si="104"/>
        <v>174.45152136446148</v>
      </c>
      <c r="U126" s="749">
        <f t="shared" si="104"/>
        <v>176.14973050942663</v>
      </c>
      <c r="V126" s="749">
        <f t="shared" si="104"/>
        <v>177.38620833595482</v>
      </c>
      <c r="W126" s="749">
        <f t="shared" si="104"/>
        <v>178.75167167426395</v>
      </c>
      <c r="X126" s="749">
        <f t="shared" si="104"/>
        <v>180.08981044110857</v>
      </c>
      <c r="Y126" s="749">
        <f t="shared" si="104"/>
        <v>181.32093173814874</v>
      </c>
      <c r="Z126" s="749">
        <f t="shared" si="104"/>
        <v>182.61368362508182</v>
      </c>
      <c r="AA126" s="749">
        <f t="shared" si="104"/>
        <v>183.83687352601925</v>
      </c>
      <c r="AB126" s="749">
        <f t="shared" si="104"/>
        <v>183.5307297638164</v>
      </c>
      <c r="AC126" s="749">
        <f t="shared" si="104"/>
        <v>183.22385381731704</v>
      </c>
      <c r="AD126" s="749">
        <f t="shared" si="104"/>
        <v>182.91824490958999</v>
      </c>
      <c r="AE126" s="749">
        <f t="shared" si="104"/>
        <v>182.61186840457654</v>
      </c>
      <c r="AF126" s="749">
        <f t="shared" si="104"/>
        <v>182.30558859602792</v>
      </c>
      <c r="AG126" s="749">
        <f t="shared" si="104"/>
        <v>181.99838290880265</v>
      </c>
      <c r="AH126" s="749">
        <f t="shared" si="104"/>
        <v>181.69225980069484</v>
      </c>
      <c r="AI126" s="749">
        <f t="shared" si="104"/>
        <v>181.38540621637654</v>
      </c>
      <c r="AJ126" s="749">
        <f t="shared" si="104"/>
        <v>181.0794814696917</v>
      </c>
      <c r="AK126" s="749">
        <f t="shared" si="104"/>
        <v>180.77325484619922</v>
      </c>
      <c r="AL126" s="749">
        <f t="shared" si="104"/>
        <v>180.46702872703131</v>
      </c>
      <c r="AM126" s="749">
        <f t="shared" si="104"/>
        <v>180.16396292703854</v>
      </c>
      <c r="AN126" s="749">
        <f t="shared" si="104"/>
        <v>179.86090286950014</v>
      </c>
      <c r="AO126" s="749">
        <f t="shared" si="104"/>
        <v>179.55784856175819</v>
      </c>
      <c r="AP126" s="749">
        <f t="shared" si="104"/>
        <v>179.25480001116415</v>
      </c>
      <c r="AQ126" s="749">
        <f t="shared" si="104"/>
        <v>178.95175722507895</v>
      </c>
      <c r="AR126" s="749">
        <f t="shared" si="104"/>
        <v>178.64872021087291</v>
      </c>
      <c r="AS126" s="749">
        <f t="shared" si="104"/>
        <v>178.34568897592567</v>
      </c>
      <c r="AT126" s="749">
        <f t="shared" si="104"/>
        <v>178.04266352762647</v>
      </c>
      <c r="AU126" s="749">
        <f t="shared" si="104"/>
        <v>177.73964387337384</v>
      </c>
    </row>
    <row r="127" spans="4:48" s="576" customFormat="1">
      <c r="D127" s="744"/>
      <c r="E127" s="744" t="s">
        <v>658</v>
      </c>
      <c r="F127" s="747" t="s">
        <v>1113</v>
      </c>
      <c r="G127" s="748">
        <f>G126*$E$175</f>
        <v>193.25569881576058</v>
      </c>
      <c r="H127" s="748">
        <f t="shared" ref="H127:AU127" si="105">H126*$E$175</f>
        <v>232.74569881576062</v>
      </c>
      <c r="I127" s="748">
        <f t="shared" si="105"/>
        <v>237.03569881576058</v>
      </c>
      <c r="J127" s="748">
        <f t="shared" si="105"/>
        <v>239.56569881576058</v>
      </c>
      <c r="K127" s="748">
        <f t="shared" si="105"/>
        <v>230.21569881576059</v>
      </c>
      <c r="L127" s="748">
        <f t="shared" si="105"/>
        <v>189.95569881576057</v>
      </c>
      <c r="M127" s="748">
        <f t="shared" si="105"/>
        <v>186.7656988157606</v>
      </c>
      <c r="N127" s="748">
        <f t="shared" si="105"/>
        <v>191.27569881576059</v>
      </c>
      <c r="O127" s="749">
        <f t="shared" si="105"/>
        <v>218.55688218995647</v>
      </c>
      <c r="P127" s="749">
        <f t="shared" si="105"/>
        <v>211.40235879278021</v>
      </c>
      <c r="Q127" s="749">
        <f t="shared" si="105"/>
        <v>209.77442641096206</v>
      </c>
      <c r="R127" s="749">
        <f t="shared" si="105"/>
        <v>185.59193245846237</v>
      </c>
      <c r="S127" s="749">
        <f t="shared" si="105"/>
        <v>189.34128121623681</v>
      </c>
      <c r="T127" s="749">
        <f t="shared" si="105"/>
        <v>191.89667350090764</v>
      </c>
      <c r="U127" s="749">
        <f t="shared" si="105"/>
        <v>193.7647035603693</v>
      </c>
      <c r="V127" s="749">
        <f t="shared" si="105"/>
        <v>195.12482916955031</v>
      </c>
      <c r="W127" s="749">
        <f t="shared" si="105"/>
        <v>196.62683884169036</v>
      </c>
      <c r="X127" s="749">
        <f t="shared" si="105"/>
        <v>198.09879148521944</v>
      </c>
      <c r="Y127" s="749">
        <f t="shared" si="105"/>
        <v>199.45302491196364</v>
      </c>
      <c r="Z127" s="749">
        <f t="shared" si="105"/>
        <v>200.87505198759001</v>
      </c>
      <c r="AA127" s="749">
        <f t="shared" si="105"/>
        <v>202.2205608786212</v>
      </c>
      <c r="AB127" s="749">
        <f t="shared" si="105"/>
        <v>201.88380274019806</v>
      </c>
      <c r="AC127" s="749">
        <f t="shared" si="105"/>
        <v>201.54623919904876</v>
      </c>
      <c r="AD127" s="749">
        <f t="shared" si="105"/>
        <v>201.210069400549</v>
      </c>
      <c r="AE127" s="749">
        <f t="shared" si="105"/>
        <v>200.87305524503421</v>
      </c>
      <c r="AF127" s="749">
        <f t="shared" si="105"/>
        <v>200.53614745563073</v>
      </c>
      <c r="AG127" s="749">
        <f t="shared" si="105"/>
        <v>200.19822119968293</v>
      </c>
      <c r="AH127" s="749">
        <f t="shared" si="105"/>
        <v>199.86148578076435</v>
      </c>
      <c r="AI127" s="749">
        <f t="shared" si="105"/>
        <v>199.52394683801421</v>
      </c>
      <c r="AJ127" s="749">
        <f t="shared" si="105"/>
        <v>199.18742961666089</v>
      </c>
      <c r="AK127" s="749">
        <f t="shared" si="105"/>
        <v>198.85058033081916</v>
      </c>
      <c r="AL127" s="749">
        <f t="shared" si="105"/>
        <v>198.51373159973446</v>
      </c>
      <c r="AM127" s="749">
        <f t="shared" si="105"/>
        <v>198.1803592197424</v>
      </c>
      <c r="AN127" s="749">
        <f t="shared" si="105"/>
        <v>197.84699315645017</v>
      </c>
      <c r="AO127" s="749">
        <f t="shared" si="105"/>
        <v>197.51363341793402</v>
      </c>
      <c r="AP127" s="749">
        <f t="shared" si="105"/>
        <v>197.18028001228058</v>
      </c>
      <c r="AQ127" s="749">
        <f t="shared" si="105"/>
        <v>196.84693294758685</v>
      </c>
      <c r="AR127" s="749">
        <f t="shared" si="105"/>
        <v>196.51359223196022</v>
      </c>
      <c r="AS127" s="749">
        <f t="shared" si="105"/>
        <v>196.18025787351826</v>
      </c>
      <c r="AT127" s="749">
        <f t="shared" si="105"/>
        <v>195.84692988038913</v>
      </c>
      <c r="AU127" s="749">
        <f t="shared" si="105"/>
        <v>195.51360826071124</v>
      </c>
    </row>
    <row r="128" spans="4:48" s="576" customFormat="1">
      <c r="D128" s="744"/>
      <c r="E128" s="744" t="s">
        <v>900</v>
      </c>
      <c r="F128" s="747" t="s">
        <v>1113</v>
      </c>
      <c r="G128" s="748">
        <f>G127*2</f>
        <v>386.51139763152116</v>
      </c>
      <c r="H128" s="748">
        <f t="shared" ref="H128:AU128" si="106">H127*2</f>
        <v>465.49139763152124</v>
      </c>
      <c r="I128" s="748">
        <f t="shared" si="106"/>
        <v>474.07139763152117</v>
      </c>
      <c r="J128" s="748">
        <f t="shared" si="106"/>
        <v>479.13139763152117</v>
      </c>
      <c r="K128" s="748">
        <f t="shared" si="106"/>
        <v>460.43139763152118</v>
      </c>
      <c r="L128" s="748">
        <f t="shared" si="106"/>
        <v>379.91139763152114</v>
      </c>
      <c r="M128" s="748">
        <f t="shared" si="106"/>
        <v>373.5313976315212</v>
      </c>
      <c r="N128" s="748">
        <f t="shared" si="106"/>
        <v>382.55139763152118</v>
      </c>
      <c r="O128" s="749">
        <f t="shared" si="106"/>
        <v>437.11376437991294</v>
      </c>
      <c r="P128" s="749">
        <f t="shared" si="106"/>
        <v>422.80471758556041</v>
      </c>
      <c r="Q128" s="749">
        <f t="shared" si="106"/>
        <v>419.54885282192413</v>
      </c>
      <c r="R128" s="749">
        <f t="shared" si="106"/>
        <v>371.18386491692473</v>
      </c>
      <c r="S128" s="749">
        <f t="shared" si="106"/>
        <v>378.68256243247362</v>
      </c>
      <c r="T128" s="749">
        <f t="shared" si="106"/>
        <v>383.79334700181528</v>
      </c>
      <c r="U128" s="749">
        <f t="shared" si="106"/>
        <v>387.5294071207386</v>
      </c>
      <c r="V128" s="749">
        <f t="shared" si="106"/>
        <v>390.24965833910062</v>
      </c>
      <c r="W128" s="749">
        <f t="shared" si="106"/>
        <v>393.25367768338072</v>
      </c>
      <c r="X128" s="749">
        <f t="shared" si="106"/>
        <v>396.19758297043887</v>
      </c>
      <c r="Y128" s="749">
        <f t="shared" si="106"/>
        <v>398.90604982392728</v>
      </c>
      <c r="Z128" s="749">
        <f t="shared" si="106"/>
        <v>401.75010397518002</v>
      </c>
      <c r="AA128" s="749">
        <f t="shared" si="106"/>
        <v>404.4411217572424</v>
      </c>
      <c r="AB128" s="749">
        <f t="shared" si="106"/>
        <v>403.76760548039613</v>
      </c>
      <c r="AC128" s="749">
        <f t="shared" si="106"/>
        <v>403.09247839809751</v>
      </c>
      <c r="AD128" s="749">
        <f t="shared" si="106"/>
        <v>402.42013880109801</v>
      </c>
      <c r="AE128" s="749">
        <f t="shared" si="106"/>
        <v>401.74611049006842</v>
      </c>
      <c r="AF128" s="749">
        <f t="shared" si="106"/>
        <v>401.07229491126145</v>
      </c>
      <c r="AG128" s="749">
        <f t="shared" si="106"/>
        <v>400.39644239936587</v>
      </c>
      <c r="AH128" s="749">
        <f t="shared" si="106"/>
        <v>399.72297156152871</v>
      </c>
      <c r="AI128" s="749">
        <f t="shared" si="106"/>
        <v>399.04789367602842</v>
      </c>
      <c r="AJ128" s="749">
        <f t="shared" si="106"/>
        <v>398.37485923332179</v>
      </c>
      <c r="AK128" s="749">
        <f t="shared" si="106"/>
        <v>397.70116066163831</v>
      </c>
      <c r="AL128" s="749">
        <f t="shared" si="106"/>
        <v>397.02746319946891</v>
      </c>
      <c r="AM128" s="749">
        <f t="shared" si="106"/>
        <v>396.3607184394848</v>
      </c>
      <c r="AN128" s="749">
        <f t="shared" si="106"/>
        <v>395.69398631290034</v>
      </c>
      <c r="AO128" s="749">
        <f t="shared" si="106"/>
        <v>395.02726683586803</v>
      </c>
      <c r="AP128" s="749">
        <f t="shared" si="106"/>
        <v>394.36056002456115</v>
      </c>
      <c r="AQ128" s="749">
        <f t="shared" si="106"/>
        <v>393.6938658951737</v>
      </c>
      <c r="AR128" s="749">
        <f t="shared" si="106"/>
        <v>393.02718446392043</v>
      </c>
      <c r="AS128" s="749">
        <f t="shared" si="106"/>
        <v>392.36051574703652</v>
      </c>
      <c r="AT128" s="749">
        <f t="shared" si="106"/>
        <v>391.69385976077825</v>
      </c>
      <c r="AU128" s="749">
        <f t="shared" si="106"/>
        <v>391.02721652142247</v>
      </c>
    </row>
    <row r="129" spans="4:47" s="576" customFormat="1">
      <c r="D129" s="744" t="s">
        <v>1114</v>
      </c>
      <c r="E129" s="744" t="s">
        <v>789</v>
      </c>
      <c r="F129" s="745" t="str">
        <f>F125</f>
        <v>MKr19</v>
      </c>
      <c r="G129" s="748">
        <f>G125</f>
        <v>76.5</v>
      </c>
      <c r="H129" s="748">
        <f t="shared" ref="H129:AU129" si="107">H125</f>
        <v>112.4</v>
      </c>
      <c r="I129" s="748">
        <f t="shared" si="107"/>
        <v>116.3</v>
      </c>
      <c r="J129" s="748">
        <f t="shared" si="107"/>
        <v>118.6</v>
      </c>
      <c r="K129" s="748">
        <f t="shared" si="107"/>
        <v>110.1</v>
      </c>
      <c r="L129" s="748">
        <f t="shared" si="107"/>
        <v>73.5</v>
      </c>
      <c r="M129" s="748">
        <f t="shared" si="107"/>
        <v>70.599999999999994</v>
      </c>
      <c r="N129" s="748">
        <f t="shared" si="107"/>
        <v>74.7</v>
      </c>
      <c r="O129" s="748">
        <f t="shared" si="107"/>
        <v>99.501075794723519</v>
      </c>
      <c r="P129" s="748">
        <f t="shared" si="107"/>
        <v>92.996963615472367</v>
      </c>
      <c r="Q129" s="748">
        <f t="shared" si="107"/>
        <v>91.517025086546809</v>
      </c>
      <c r="R129" s="748">
        <f t="shared" si="107"/>
        <v>69.532939675183428</v>
      </c>
      <c r="S129" s="748">
        <f t="shared" si="107"/>
        <v>72.941438545887451</v>
      </c>
      <c r="T129" s="748">
        <f t="shared" si="107"/>
        <v>75.264522441042786</v>
      </c>
      <c r="U129" s="748">
        <f t="shared" si="107"/>
        <v>76.962731586007934</v>
      </c>
      <c r="V129" s="748">
        <f t="shared" si="107"/>
        <v>78.199209412536121</v>
      </c>
      <c r="W129" s="748">
        <f t="shared" si="107"/>
        <v>79.564672750845261</v>
      </c>
      <c r="X129" s="748">
        <f t="shared" si="107"/>
        <v>80.902811517689884</v>
      </c>
      <c r="Y129" s="748">
        <f t="shared" si="107"/>
        <v>82.133932814730045</v>
      </c>
      <c r="Z129" s="748">
        <f t="shared" si="107"/>
        <v>83.42668470166312</v>
      </c>
      <c r="AA129" s="748">
        <f t="shared" si="107"/>
        <v>84.649874602600562</v>
      </c>
      <c r="AB129" s="748">
        <f t="shared" si="107"/>
        <v>84.343730840397711</v>
      </c>
      <c r="AC129" s="748">
        <f t="shared" si="107"/>
        <v>84.036854893898322</v>
      </c>
      <c r="AD129" s="748">
        <f t="shared" si="107"/>
        <v>83.731245986171288</v>
      </c>
      <c r="AE129" s="748">
        <f t="shared" si="107"/>
        <v>83.424869481157842</v>
      </c>
      <c r="AF129" s="748">
        <f t="shared" si="107"/>
        <v>83.118589672609204</v>
      </c>
      <c r="AG129" s="748">
        <f t="shared" si="107"/>
        <v>82.811383985383955</v>
      </c>
      <c r="AH129" s="748">
        <f t="shared" si="107"/>
        <v>82.505260877276157</v>
      </c>
      <c r="AI129" s="748">
        <f t="shared" si="107"/>
        <v>82.198407292957839</v>
      </c>
      <c r="AJ129" s="748">
        <f t="shared" si="107"/>
        <v>81.892482546272987</v>
      </c>
      <c r="AK129" s="748">
        <f t="shared" si="107"/>
        <v>81.586255922780509</v>
      </c>
      <c r="AL129" s="748">
        <f t="shared" si="107"/>
        <v>81.280029803612607</v>
      </c>
      <c r="AM129" s="748">
        <f t="shared" si="107"/>
        <v>80.976964003619855</v>
      </c>
      <c r="AN129" s="748">
        <f t="shared" si="107"/>
        <v>80.673903946081424</v>
      </c>
      <c r="AO129" s="748">
        <f t="shared" si="107"/>
        <v>80.370849638339479</v>
      </c>
      <c r="AP129" s="748">
        <f t="shared" si="107"/>
        <v>80.067801087745465</v>
      </c>
      <c r="AQ129" s="748">
        <f t="shared" si="107"/>
        <v>79.764758301660265</v>
      </c>
      <c r="AR129" s="748">
        <f t="shared" si="107"/>
        <v>79.461721287454196</v>
      </c>
      <c r="AS129" s="748">
        <f t="shared" si="107"/>
        <v>79.158690052506984</v>
      </c>
      <c r="AT129" s="748">
        <f t="shared" si="107"/>
        <v>78.85566460420776</v>
      </c>
      <c r="AU129" s="748">
        <f t="shared" si="107"/>
        <v>78.552644949955152</v>
      </c>
    </row>
    <row r="130" spans="4:47" s="576" customFormat="1">
      <c r="D130" s="744"/>
      <c r="E130" s="744" t="s">
        <v>44</v>
      </c>
      <c r="F130" s="747" t="s">
        <v>1113</v>
      </c>
      <c r="G130" s="748">
        <f t="shared" ref="G130:N130" si="108">G215</f>
        <v>68.2</v>
      </c>
      <c r="H130" s="748">
        <f t="shared" si="108"/>
        <v>102</v>
      </c>
      <c r="I130" s="748">
        <f t="shared" si="108"/>
        <v>96.2</v>
      </c>
      <c r="J130" s="748">
        <f t="shared" si="108"/>
        <v>91.7</v>
      </c>
      <c r="K130" s="748">
        <f t="shared" si="108"/>
        <v>84</v>
      </c>
      <c r="L130" s="748">
        <f t="shared" si="108"/>
        <v>47.5</v>
      </c>
      <c r="M130" s="748">
        <f t="shared" si="108"/>
        <v>44.5</v>
      </c>
      <c r="N130" s="748">
        <f t="shared" si="108"/>
        <v>48.7</v>
      </c>
      <c r="O130" s="749">
        <f>INDEX($D$277:$O$309,MATCH(O$23,$C$277:$C$309,0),MATCH($E130,$D$274:$O$274,0))</f>
        <v>67.735141438725293</v>
      </c>
      <c r="P130" s="749">
        <f t="shared" ref="P130:AU130" si="109">INDEX($D$277:$O$309,MATCH(P$23,$C$277:$C$309,0),MATCH($E130,$D$274:$O$274,0))</f>
        <v>61.821029259474152</v>
      </c>
      <c r="Q130" s="749">
        <f t="shared" si="109"/>
        <v>60.341090730548601</v>
      </c>
      <c r="R130" s="749">
        <f t="shared" si="109"/>
        <v>38.35700531918522</v>
      </c>
      <c r="S130" s="749">
        <f t="shared" si="109"/>
        <v>41.765504189889249</v>
      </c>
      <c r="T130" s="749">
        <f t="shared" si="109"/>
        <v>44.088588085044584</v>
      </c>
      <c r="U130" s="749">
        <f t="shared" si="109"/>
        <v>45.786797230009718</v>
      </c>
      <c r="V130" s="749">
        <f t="shared" si="109"/>
        <v>47.023275056537912</v>
      </c>
      <c r="W130" s="749">
        <f t="shared" si="109"/>
        <v>48.388738394847046</v>
      </c>
      <c r="X130" s="749">
        <f t="shared" si="109"/>
        <v>49.726877161691675</v>
      </c>
      <c r="Y130" s="749">
        <f t="shared" si="109"/>
        <v>50.957998458731836</v>
      </c>
      <c r="Z130" s="749">
        <f t="shared" si="109"/>
        <v>52.250750345664912</v>
      </c>
      <c r="AA130" s="749">
        <f t="shared" si="109"/>
        <v>53.473940246602353</v>
      </c>
      <c r="AB130" s="749">
        <f t="shared" si="109"/>
        <v>53.16779648439951</v>
      </c>
      <c r="AC130" s="749">
        <f t="shared" si="109"/>
        <v>52.860920537900107</v>
      </c>
      <c r="AD130" s="749">
        <f t="shared" si="109"/>
        <v>52.55531163017308</v>
      </c>
      <c r="AE130" s="749">
        <f t="shared" si="109"/>
        <v>52.248935125159633</v>
      </c>
      <c r="AF130" s="749">
        <f t="shared" si="109"/>
        <v>51.942655316610988</v>
      </c>
      <c r="AG130" s="749">
        <f t="shared" si="109"/>
        <v>51.635449629385747</v>
      </c>
      <c r="AH130" s="749">
        <f t="shared" si="109"/>
        <v>51.329326521277956</v>
      </c>
      <c r="AI130" s="749">
        <f t="shared" si="109"/>
        <v>51.022472936959623</v>
      </c>
      <c r="AJ130" s="749">
        <f t="shared" si="109"/>
        <v>50.716548190274779</v>
      </c>
      <c r="AK130" s="749">
        <f t="shared" si="109"/>
        <v>50.410321566782294</v>
      </c>
      <c r="AL130" s="749">
        <f t="shared" si="109"/>
        <v>50.104095447614391</v>
      </c>
      <c r="AM130" s="749">
        <f t="shared" si="109"/>
        <v>49.801029647621633</v>
      </c>
      <c r="AN130" s="749">
        <f t="shared" si="109"/>
        <v>49.497969590083216</v>
      </c>
      <c r="AO130" s="749">
        <f t="shared" si="109"/>
        <v>49.19491528234127</v>
      </c>
      <c r="AP130" s="749">
        <f t="shared" si="109"/>
        <v>48.89186673174725</v>
      </c>
      <c r="AQ130" s="749">
        <f t="shared" si="109"/>
        <v>48.588823945662064</v>
      </c>
      <c r="AR130" s="749">
        <f t="shared" si="109"/>
        <v>48.285786931455988</v>
      </c>
      <c r="AS130" s="749">
        <f t="shared" si="109"/>
        <v>47.982755696508768</v>
      </c>
      <c r="AT130" s="749">
        <f t="shared" si="109"/>
        <v>47.679730248209545</v>
      </c>
      <c r="AU130" s="749">
        <f t="shared" si="109"/>
        <v>47.376710593956936</v>
      </c>
    </row>
    <row r="131" spans="4:47" s="576" customFormat="1">
      <c r="D131" s="744" t="s">
        <v>1115</v>
      </c>
      <c r="E131" s="744" t="s">
        <v>910</v>
      </c>
      <c r="F131" s="745" t="str">
        <f>F130</f>
        <v>MKr19</v>
      </c>
      <c r="G131" s="748">
        <f>G130+$E$176</f>
        <v>131.87375303359801</v>
      </c>
      <c r="H131" s="748">
        <f t="shared" ref="H131:AU131" si="110">H130+$E$176</f>
        <v>165.67375303359799</v>
      </c>
      <c r="I131" s="748">
        <f t="shared" si="110"/>
        <v>159.87375303359801</v>
      </c>
      <c r="J131" s="748">
        <f t="shared" si="110"/>
        <v>155.37375303359801</v>
      </c>
      <c r="K131" s="748">
        <f t="shared" si="110"/>
        <v>147.67375303359799</v>
      </c>
      <c r="L131" s="748">
        <f t="shared" si="110"/>
        <v>111.17375303359799</v>
      </c>
      <c r="M131" s="748">
        <f t="shared" si="110"/>
        <v>108.17375303359799</v>
      </c>
      <c r="N131" s="748">
        <f t="shared" si="110"/>
        <v>112.37375303359801</v>
      </c>
      <c r="O131" s="748">
        <f t="shared" si="110"/>
        <v>131.40889447232328</v>
      </c>
      <c r="P131" s="748">
        <f t="shared" si="110"/>
        <v>125.49478229307215</v>
      </c>
      <c r="Q131" s="748">
        <f t="shared" si="110"/>
        <v>124.0148437641466</v>
      </c>
      <c r="R131" s="748">
        <f t="shared" si="110"/>
        <v>102.03075835278321</v>
      </c>
      <c r="S131" s="748">
        <f t="shared" si="110"/>
        <v>105.43925722348725</v>
      </c>
      <c r="T131" s="748">
        <f t="shared" si="110"/>
        <v>107.76234111864258</v>
      </c>
      <c r="U131" s="748">
        <f t="shared" si="110"/>
        <v>109.46055026360771</v>
      </c>
      <c r="V131" s="748">
        <f t="shared" si="110"/>
        <v>110.69702809013592</v>
      </c>
      <c r="W131" s="748">
        <f t="shared" si="110"/>
        <v>112.06249142844504</v>
      </c>
      <c r="X131" s="748">
        <f t="shared" si="110"/>
        <v>113.40063019528966</v>
      </c>
      <c r="Y131" s="748">
        <f t="shared" si="110"/>
        <v>114.63175149232984</v>
      </c>
      <c r="Z131" s="748">
        <f t="shared" si="110"/>
        <v>115.92450337926292</v>
      </c>
      <c r="AA131" s="748">
        <f t="shared" si="110"/>
        <v>117.14769328020034</v>
      </c>
      <c r="AB131" s="748">
        <f t="shared" si="110"/>
        <v>116.84154951799751</v>
      </c>
      <c r="AC131" s="748">
        <f t="shared" si="110"/>
        <v>116.5346735714981</v>
      </c>
      <c r="AD131" s="748">
        <f t="shared" si="110"/>
        <v>116.22906466377108</v>
      </c>
      <c r="AE131" s="748">
        <f t="shared" si="110"/>
        <v>115.92268815875764</v>
      </c>
      <c r="AF131" s="748">
        <f t="shared" si="110"/>
        <v>115.61640835020899</v>
      </c>
      <c r="AG131" s="748">
        <f t="shared" si="110"/>
        <v>115.30920266298375</v>
      </c>
      <c r="AH131" s="748">
        <f t="shared" si="110"/>
        <v>115.00307955487595</v>
      </c>
      <c r="AI131" s="748">
        <f t="shared" si="110"/>
        <v>114.69622597055762</v>
      </c>
      <c r="AJ131" s="748">
        <f t="shared" si="110"/>
        <v>114.39030122387277</v>
      </c>
      <c r="AK131" s="748">
        <f t="shared" si="110"/>
        <v>114.08407460038029</v>
      </c>
      <c r="AL131" s="748">
        <f t="shared" si="110"/>
        <v>113.77784848121239</v>
      </c>
      <c r="AM131" s="748">
        <f t="shared" si="110"/>
        <v>113.47478268121964</v>
      </c>
      <c r="AN131" s="748">
        <f t="shared" si="110"/>
        <v>113.17172262368121</v>
      </c>
      <c r="AO131" s="748">
        <f t="shared" si="110"/>
        <v>112.86866831593926</v>
      </c>
      <c r="AP131" s="748">
        <f t="shared" si="110"/>
        <v>112.56561976534525</v>
      </c>
      <c r="AQ131" s="748">
        <f t="shared" si="110"/>
        <v>112.26257697926006</v>
      </c>
      <c r="AR131" s="748">
        <f t="shared" si="110"/>
        <v>111.95953996505398</v>
      </c>
      <c r="AS131" s="748">
        <f t="shared" si="110"/>
        <v>111.65650873010676</v>
      </c>
      <c r="AT131" s="748">
        <f t="shared" si="110"/>
        <v>111.35348328180754</v>
      </c>
      <c r="AU131" s="748">
        <f t="shared" si="110"/>
        <v>111.05046362755493</v>
      </c>
    </row>
    <row r="132" spans="4:47" s="576" customFormat="1">
      <c r="D132" s="744"/>
      <c r="E132" s="744" t="s">
        <v>874</v>
      </c>
      <c r="F132" s="745" t="str">
        <f>F131</f>
        <v>MKr19</v>
      </c>
      <c r="G132" s="748">
        <f>G131*2</f>
        <v>263.74750606719601</v>
      </c>
      <c r="H132" s="748">
        <f t="shared" ref="H132:AU132" si="111">H131*2</f>
        <v>331.34750606719598</v>
      </c>
      <c r="I132" s="748">
        <f t="shared" si="111"/>
        <v>319.74750606719601</v>
      </c>
      <c r="J132" s="748">
        <f t="shared" si="111"/>
        <v>310.74750606719601</v>
      </c>
      <c r="K132" s="748">
        <f t="shared" si="111"/>
        <v>295.34750606719598</v>
      </c>
      <c r="L132" s="748">
        <f t="shared" si="111"/>
        <v>222.34750606719598</v>
      </c>
      <c r="M132" s="748">
        <f t="shared" si="111"/>
        <v>216.34750606719598</v>
      </c>
      <c r="N132" s="748">
        <f t="shared" si="111"/>
        <v>224.74750606719601</v>
      </c>
      <c r="O132" s="748">
        <f t="shared" si="111"/>
        <v>262.81778894464657</v>
      </c>
      <c r="P132" s="748">
        <f t="shared" si="111"/>
        <v>250.9895645861443</v>
      </c>
      <c r="Q132" s="748">
        <f t="shared" si="111"/>
        <v>248.02968752829321</v>
      </c>
      <c r="R132" s="748">
        <f t="shared" si="111"/>
        <v>204.06151670556642</v>
      </c>
      <c r="S132" s="748">
        <f t="shared" si="111"/>
        <v>210.87851444697449</v>
      </c>
      <c r="T132" s="748">
        <f t="shared" si="111"/>
        <v>215.52468223728516</v>
      </c>
      <c r="U132" s="748">
        <f t="shared" si="111"/>
        <v>218.92110052721543</v>
      </c>
      <c r="V132" s="748">
        <f t="shared" si="111"/>
        <v>221.39405618027183</v>
      </c>
      <c r="W132" s="748">
        <f t="shared" si="111"/>
        <v>224.12498285689009</v>
      </c>
      <c r="X132" s="748">
        <f t="shared" si="111"/>
        <v>226.80126039057933</v>
      </c>
      <c r="Y132" s="748">
        <f t="shared" si="111"/>
        <v>229.26350298465968</v>
      </c>
      <c r="Z132" s="748">
        <f t="shared" si="111"/>
        <v>231.84900675852583</v>
      </c>
      <c r="AA132" s="748">
        <f t="shared" si="111"/>
        <v>234.29538656040069</v>
      </c>
      <c r="AB132" s="748">
        <f t="shared" si="111"/>
        <v>233.68309903599501</v>
      </c>
      <c r="AC132" s="748">
        <f t="shared" si="111"/>
        <v>233.06934714299621</v>
      </c>
      <c r="AD132" s="748">
        <f t="shared" si="111"/>
        <v>232.45812932754217</v>
      </c>
      <c r="AE132" s="748">
        <f t="shared" si="111"/>
        <v>231.84537631751527</v>
      </c>
      <c r="AF132" s="748">
        <f t="shared" si="111"/>
        <v>231.23281670041797</v>
      </c>
      <c r="AG132" s="748">
        <f t="shared" si="111"/>
        <v>230.6184053259675</v>
      </c>
      <c r="AH132" s="748">
        <f t="shared" si="111"/>
        <v>230.00615910975191</v>
      </c>
      <c r="AI132" s="748">
        <f t="shared" si="111"/>
        <v>229.39245194111524</v>
      </c>
      <c r="AJ132" s="748">
        <f t="shared" si="111"/>
        <v>228.78060244774554</v>
      </c>
      <c r="AK132" s="748">
        <f t="shared" si="111"/>
        <v>228.16814920076058</v>
      </c>
      <c r="AL132" s="748">
        <f t="shared" si="111"/>
        <v>227.55569696242478</v>
      </c>
      <c r="AM132" s="748">
        <f t="shared" si="111"/>
        <v>226.94956536243927</v>
      </c>
      <c r="AN132" s="748">
        <f t="shared" si="111"/>
        <v>226.34344524736241</v>
      </c>
      <c r="AO132" s="748">
        <f t="shared" si="111"/>
        <v>225.73733663187852</v>
      </c>
      <c r="AP132" s="748">
        <f t="shared" si="111"/>
        <v>225.13123953069049</v>
      </c>
      <c r="AQ132" s="748">
        <f t="shared" si="111"/>
        <v>224.52515395852012</v>
      </c>
      <c r="AR132" s="748">
        <f t="shared" si="111"/>
        <v>223.91907993010796</v>
      </c>
      <c r="AS132" s="748">
        <f t="shared" si="111"/>
        <v>223.31301746021353</v>
      </c>
      <c r="AT132" s="748">
        <f t="shared" si="111"/>
        <v>222.70696656361508</v>
      </c>
      <c r="AU132" s="748">
        <f t="shared" si="111"/>
        <v>222.10092725510987</v>
      </c>
    </row>
    <row r="133" spans="4:47" s="576" customFormat="1">
      <c r="D133" s="744"/>
      <c r="E133" s="744" t="s">
        <v>872</v>
      </c>
      <c r="F133" s="745" t="str">
        <f>F131</f>
        <v>MKr19</v>
      </c>
      <c r="G133" s="748">
        <f>G130</f>
        <v>68.2</v>
      </c>
      <c r="H133" s="748">
        <f t="shared" ref="H133:N133" si="112">H130</f>
        <v>102</v>
      </c>
      <c r="I133" s="748">
        <f t="shared" si="112"/>
        <v>96.2</v>
      </c>
      <c r="J133" s="748">
        <f t="shared" si="112"/>
        <v>91.7</v>
      </c>
      <c r="K133" s="748">
        <f t="shared" si="112"/>
        <v>84</v>
      </c>
      <c r="L133" s="748">
        <f t="shared" si="112"/>
        <v>47.5</v>
      </c>
      <c r="M133" s="748">
        <f t="shared" si="112"/>
        <v>44.5</v>
      </c>
      <c r="N133" s="748">
        <f t="shared" si="112"/>
        <v>48.7</v>
      </c>
      <c r="O133" s="748">
        <f>O130</f>
        <v>67.735141438725293</v>
      </c>
      <c r="P133" s="748">
        <f t="shared" ref="P133:AU133" si="113">P130</f>
        <v>61.821029259474152</v>
      </c>
      <c r="Q133" s="748">
        <f t="shared" si="113"/>
        <v>60.341090730548601</v>
      </c>
      <c r="R133" s="748">
        <f t="shared" si="113"/>
        <v>38.35700531918522</v>
      </c>
      <c r="S133" s="748">
        <f t="shared" si="113"/>
        <v>41.765504189889249</v>
      </c>
      <c r="T133" s="748">
        <f t="shared" si="113"/>
        <v>44.088588085044584</v>
      </c>
      <c r="U133" s="748">
        <f t="shared" si="113"/>
        <v>45.786797230009718</v>
      </c>
      <c r="V133" s="748">
        <f t="shared" si="113"/>
        <v>47.023275056537912</v>
      </c>
      <c r="W133" s="748">
        <f t="shared" si="113"/>
        <v>48.388738394847046</v>
      </c>
      <c r="X133" s="748">
        <f t="shared" si="113"/>
        <v>49.726877161691675</v>
      </c>
      <c r="Y133" s="748">
        <f t="shared" si="113"/>
        <v>50.957998458731836</v>
      </c>
      <c r="Z133" s="748">
        <f t="shared" si="113"/>
        <v>52.250750345664912</v>
      </c>
      <c r="AA133" s="748">
        <f t="shared" si="113"/>
        <v>53.473940246602353</v>
      </c>
      <c r="AB133" s="748">
        <f t="shared" si="113"/>
        <v>53.16779648439951</v>
      </c>
      <c r="AC133" s="748">
        <f t="shared" si="113"/>
        <v>52.860920537900107</v>
      </c>
      <c r="AD133" s="748">
        <f t="shared" si="113"/>
        <v>52.55531163017308</v>
      </c>
      <c r="AE133" s="748">
        <f t="shared" si="113"/>
        <v>52.248935125159633</v>
      </c>
      <c r="AF133" s="748">
        <f t="shared" si="113"/>
        <v>51.942655316610988</v>
      </c>
      <c r="AG133" s="748">
        <f t="shared" si="113"/>
        <v>51.635449629385747</v>
      </c>
      <c r="AH133" s="748">
        <f t="shared" si="113"/>
        <v>51.329326521277956</v>
      </c>
      <c r="AI133" s="748">
        <f t="shared" si="113"/>
        <v>51.022472936959623</v>
      </c>
      <c r="AJ133" s="748">
        <f t="shared" si="113"/>
        <v>50.716548190274779</v>
      </c>
      <c r="AK133" s="748">
        <f t="shared" si="113"/>
        <v>50.410321566782294</v>
      </c>
      <c r="AL133" s="748">
        <f t="shared" si="113"/>
        <v>50.104095447614391</v>
      </c>
      <c r="AM133" s="748">
        <f t="shared" si="113"/>
        <v>49.801029647621633</v>
      </c>
      <c r="AN133" s="748">
        <f t="shared" si="113"/>
        <v>49.497969590083216</v>
      </c>
      <c r="AO133" s="748">
        <f t="shared" si="113"/>
        <v>49.19491528234127</v>
      </c>
      <c r="AP133" s="748">
        <f t="shared" si="113"/>
        <v>48.89186673174725</v>
      </c>
      <c r="AQ133" s="748">
        <f t="shared" si="113"/>
        <v>48.588823945662064</v>
      </c>
      <c r="AR133" s="748">
        <f t="shared" si="113"/>
        <v>48.285786931455988</v>
      </c>
      <c r="AS133" s="748">
        <f t="shared" si="113"/>
        <v>47.982755696508768</v>
      </c>
      <c r="AT133" s="748">
        <f t="shared" si="113"/>
        <v>47.679730248209545</v>
      </c>
      <c r="AU133" s="748">
        <f t="shared" si="113"/>
        <v>47.376710593956936</v>
      </c>
    </row>
    <row r="134" spans="4:47" s="576" customFormat="1">
      <c r="D134" s="744"/>
      <c r="E134" s="744" t="s">
        <v>41</v>
      </c>
      <c r="F134" s="747" t="s">
        <v>1113</v>
      </c>
      <c r="G134" s="748">
        <f>G216</f>
        <v>44.4</v>
      </c>
      <c r="H134" s="748">
        <f t="shared" ref="H134:N134" si="114">H216</f>
        <v>46.1</v>
      </c>
      <c r="I134" s="748">
        <f t="shared" si="114"/>
        <v>55.1</v>
      </c>
      <c r="J134" s="748">
        <f t="shared" si="114"/>
        <v>54.2</v>
      </c>
      <c r="K134" s="748">
        <f t="shared" si="114"/>
        <v>45.7</v>
      </c>
      <c r="L134" s="748">
        <f t="shared" si="114"/>
        <v>44</v>
      </c>
      <c r="M134" s="748">
        <f t="shared" si="114"/>
        <v>36.799999999999997</v>
      </c>
      <c r="N134" s="748">
        <f t="shared" si="114"/>
        <v>36.9</v>
      </c>
      <c r="O134" s="749">
        <f>INDEX($D$277:$O$309,MATCH(O$23,$C$277:$C$309,0),MATCH($E134,$D$274:$O$274,0))</f>
        <v>53.422183381850253</v>
      </c>
      <c r="P134" s="749">
        <f t="shared" ref="P134:AU134" si="115">INDEX($D$277:$O$309,MATCH(P$23,$C$277:$C$309,0),MATCH($E134,$D$274:$O$274,0))</f>
        <v>34.261011240620462</v>
      </c>
      <c r="Q134" s="749">
        <f t="shared" si="115"/>
        <v>33.397849986482257</v>
      </c>
      <c r="R134" s="749">
        <f t="shared" si="115"/>
        <v>31.525290025438199</v>
      </c>
      <c r="S134" s="749">
        <f t="shared" si="115"/>
        <v>32.762548621541896</v>
      </c>
      <c r="T134" s="749">
        <f t="shared" si="115"/>
        <v>33.367688312875465</v>
      </c>
      <c r="U134" s="749">
        <f t="shared" si="115"/>
        <v>33.567123920362071</v>
      </c>
      <c r="V134" s="749">
        <f t="shared" si="115"/>
        <v>33.506083462913665</v>
      </c>
      <c r="W134" s="749">
        <f t="shared" si="115"/>
        <v>33.467639204304064</v>
      </c>
      <c r="X134" s="749">
        <f t="shared" si="115"/>
        <v>33.442947086231669</v>
      </c>
      <c r="Y134" s="749">
        <f t="shared" si="115"/>
        <v>33.42179959045346</v>
      </c>
      <c r="Z134" s="749">
        <f t="shared" si="115"/>
        <v>33.414220248022303</v>
      </c>
      <c r="AA134" s="749">
        <f t="shared" si="115"/>
        <v>33.412152610409883</v>
      </c>
      <c r="AB134" s="749">
        <f t="shared" si="115"/>
        <v>33.458238338148384</v>
      </c>
      <c r="AC134" s="749">
        <f t="shared" si="115"/>
        <v>33.504324065886884</v>
      </c>
      <c r="AD134" s="749">
        <f t="shared" si="115"/>
        <v>33.550409793625377</v>
      </c>
      <c r="AE134" s="749">
        <f t="shared" si="115"/>
        <v>33.59649552136387</v>
      </c>
      <c r="AF134" s="749">
        <f t="shared" si="115"/>
        <v>33.642581249102378</v>
      </c>
      <c r="AG134" s="749">
        <f t="shared" si="115"/>
        <v>33.688666976840878</v>
      </c>
      <c r="AH134" s="749">
        <f t="shared" si="115"/>
        <v>33.734752704579364</v>
      </c>
      <c r="AI134" s="749">
        <f t="shared" si="115"/>
        <v>33.780838432317864</v>
      </c>
      <c r="AJ134" s="749">
        <f t="shared" si="115"/>
        <v>33.82692416005635</v>
      </c>
      <c r="AK134" s="749">
        <f t="shared" si="115"/>
        <v>33.873009887794851</v>
      </c>
      <c r="AL134" s="749">
        <f t="shared" si="115"/>
        <v>33.919095615533351</v>
      </c>
      <c r="AM134" s="749">
        <f t="shared" si="115"/>
        <v>33.965181343271844</v>
      </c>
      <c r="AN134" s="749">
        <f t="shared" si="115"/>
        <v>34.011267071010337</v>
      </c>
      <c r="AO134" s="749">
        <f t="shared" si="115"/>
        <v>34.057352798748838</v>
      </c>
      <c r="AP134" s="749">
        <f t="shared" si="115"/>
        <v>34.103438526487338</v>
      </c>
      <c r="AQ134" s="749">
        <f t="shared" si="115"/>
        <v>34.149524254225838</v>
      </c>
      <c r="AR134" s="749">
        <f t="shared" si="115"/>
        <v>34.195609981964324</v>
      </c>
      <c r="AS134" s="749">
        <f t="shared" si="115"/>
        <v>34.241695709702832</v>
      </c>
      <c r="AT134" s="749">
        <f t="shared" si="115"/>
        <v>34.287781437441318</v>
      </c>
      <c r="AU134" s="749">
        <f t="shared" si="115"/>
        <v>34.333867165179825</v>
      </c>
    </row>
    <row r="135" spans="4:47" s="576" customFormat="1">
      <c r="D135" s="744"/>
      <c r="E135" s="744" t="s">
        <v>660</v>
      </c>
      <c r="F135" s="745" t="str">
        <f>F134</f>
        <v>MKr19</v>
      </c>
      <c r="G135" s="748">
        <f>G134*$E$173</f>
        <v>177.6</v>
      </c>
      <c r="H135" s="748">
        <f t="shared" ref="H135:AU135" si="116">H134*$E$173</f>
        <v>184.4</v>
      </c>
      <c r="I135" s="748">
        <f t="shared" si="116"/>
        <v>220.4</v>
      </c>
      <c r="J135" s="748">
        <f t="shared" si="116"/>
        <v>216.8</v>
      </c>
      <c r="K135" s="748">
        <f t="shared" si="116"/>
        <v>182.8</v>
      </c>
      <c r="L135" s="748">
        <f t="shared" si="116"/>
        <v>176</v>
      </c>
      <c r="M135" s="748">
        <f t="shared" si="116"/>
        <v>147.19999999999999</v>
      </c>
      <c r="N135" s="748">
        <f t="shared" si="116"/>
        <v>147.6</v>
      </c>
      <c r="O135" s="748">
        <f t="shared" si="116"/>
        <v>213.68873352740101</v>
      </c>
      <c r="P135" s="748">
        <f t="shared" si="116"/>
        <v>137.04404496248185</v>
      </c>
      <c r="Q135" s="748">
        <f t="shared" si="116"/>
        <v>133.59139994592903</v>
      </c>
      <c r="R135" s="748">
        <f t="shared" si="116"/>
        <v>126.1011601017528</v>
      </c>
      <c r="S135" s="748">
        <f t="shared" si="116"/>
        <v>131.05019448616758</v>
      </c>
      <c r="T135" s="748">
        <f t="shared" si="116"/>
        <v>133.47075325150186</v>
      </c>
      <c r="U135" s="748">
        <f t="shared" si="116"/>
        <v>134.26849568144829</v>
      </c>
      <c r="V135" s="748">
        <f t="shared" si="116"/>
        <v>134.02433385165466</v>
      </c>
      <c r="W135" s="748">
        <f t="shared" si="116"/>
        <v>133.87055681721625</v>
      </c>
      <c r="X135" s="748">
        <f t="shared" si="116"/>
        <v>133.77178834492668</v>
      </c>
      <c r="Y135" s="748">
        <f t="shared" si="116"/>
        <v>133.68719836181384</v>
      </c>
      <c r="Z135" s="748">
        <f t="shared" si="116"/>
        <v>133.65688099208921</v>
      </c>
      <c r="AA135" s="748">
        <f t="shared" si="116"/>
        <v>133.64861044163953</v>
      </c>
      <c r="AB135" s="748">
        <f t="shared" si="116"/>
        <v>133.83295335259353</v>
      </c>
      <c r="AC135" s="748">
        <f t="shared" si="116"/>
        <v>134.01729626354754</v>
      </c>
      <c r="AD135" s="748">
        <f t="shared" si="116"/>
        <v>134.20163917450151</v>
      </c>
      <c r="AE135" s="748">
        <f t="shared" si="116"/>
        <v>134.38598208545548</v>
      </c>
      <c r="AF135" s="748">
        <f t="shared" si="116"/>
        <v>134.57032499640951</v>
      </c>
      <c r="AG135" s="748">
        <f t="shared" si="116"/>
        <v>134.75466790736351</v>
      </c>
      <c r="AH135" s="748">
        <f t="shared" si="116"/>
        <v>134.93901081831746</v>
      </c>
      <c r="AI135" s="748">
        <f t="shared" si="116"/>
        <v>135.12335372927146</v>
      </c>
      <c r="AJ135" s="748">
        <f t="shared" si="116"/>
        <v>135.3076966402254</v>
      </c>
      <c r="AK135" s="748">
        <f t="shared" si="116"/>
        <v>135.4920395511794</v>
      </c>
      <c r="AL135" s="748">
        <f t="shared" si="116"/>
        <v>135.6763824621334</v>
      </c>
      <c r="AM135" s="748">
        <f t="shared" si="116"/>
        <v>135.86072537308738</v>
      </c>
      <c r="AN135" s="748">
        <f t="shared" si="116"/>
        <v>136.04506828404135</v>
      </c>
      <c r="AO135" s="748">
        <f t="shared" si="116"/>
        <v>136.22941119499535</v>
      </c>
      <c r="AP135" s="748">
        <f t="shared" si="116"/>
        <v>136.41375410594935</v>
      </c>
      <c r="AQ135" s="748">
        <f t="shared" si="116"/>
        <v>136.59809701690335</v>
      </c>
      <c r="AR135" s="748">
        <f t="shared" si="116"/>
        <v>136.7824399278573</v>
      </c>
      <c r="AS135" s="748">
        <f t="shared" si="116"/>
        <v>136.96678283881133</v>
      </c>
      <c r="AT135" s="748">
        <f t="shared" si="116"/>
        <v>137.15112574976527</v>
      </c>
      <c r="AU135" s="748">
        <f t="shared" si="116"/>
        <v>137.3354686607193</v>
      </c>
    </row>
    <row r="136" spans="4:47" s="576" customFormat="1">
      <c r="D136" s="744"/>
      <c r="E136" s="744" t="s">
        <v>662</v>
      </c>
      <c r="F136" s="745" t="str">
        <f>F135</f>
        <v>MKr19</v>
      </c>
      <c r="G136" s="748">
        <f>G135*$E$175</f>
        <v>195.36</v>
      </c>
      <c r="H136" s="748">
        <f t="shared" ref="H136:AU136" si="117">H135*$E$175</f>
        <v>202.84000000000003</v>
      </c>
      <c r="I136" s="748">
        <f t="shared" si="117"/>
        <v>242.44000000000003</v>
      </c>
      <c r="J136" s="748">
        <f t="shared" si="117"/>
        <v>238.48000000000002</v>
      </c>
      <c r="K136" s="748">
        <f t="shared" si="117"/>
        <v>201.08000000000004</v>
      </c>
      <c r="L136" s="748">
        <f t="shared" si="117"/>
        <v>193.60000000000002</v>
      </c>
      <c r="M136" s="748">
        <f t="shared" si="117"/>
        <v>161.91999999999999</v>
      </c>
      <c r="N136" s="748">
        <f t="shared" si="117"/>
        <v>162.36000000000001</v>
      </c>
      <c r="O136" s="748">
        <f t="shared" si="117"/>
        <v>235.05760688014112</v>
      </c>
      <c r="P136" s="748">
        <f t="shared" si="117"/>
        <v>150.74844945873005</v>
      </c>
      <c r="Q136" s="748">
        <f t="shared" si="117"/>
        <v>146.95053994052194</v>
      </c>
      <c r="R136" s="748">
        <f t="shared" si="117"/>
        <v>138.7112761119281</v>
      </c>
      <c r="S136" s="748">
        <f t="shared" si="117"/>
        <v>144.15521393478434</v>
      </c>
      <c r="T136" s="748">
        <f t="shared" si="117"/>
        <v>146.81782857665206</v>
      </c>
      <c r="U136" s="748">
        <f t="shared" si="117"/>
        <v>147.69534524959312</v>
      </c>
      <c r="V136" s="748">
        <f t="shared" si="117"/>
        <v>147.42676723682013</v>
      </c>
      <c r="W136" s="748">
        <f t="shared" si="117"/>
        <v>147.2576124989379</v>
      </c>
      <c r="X136" s="748">
        <f t="shared" si="117"/>
        <v>147.14896717941934</v>
      </c>
      <c r="Y136" s="748">
        <f t="shared" si="117"/>
        <v>147.05591819799523</v>
      </c>
      <c r="Z136" s="748">
        <f t="shared" si="117"/>
        <v>147.02256909129815</v>
      </c>
      <c r="AA136" s="748">
        <f t="shared" si="117"/>
        <v>147.01347148580351</v>
      </c>
      <c r="AB136" s="748">
        <f t="shared" si="117"/>
        <v>147.2162486878529</v>
      </c>
      <c r="AC136" s="748">
        <f t="shared" si="117"/>
        <v>147.41902588990231</v>
      </c>
      <c r="AD136" s="748">
        <f t="shared" si="117"/>
        <v>147.62180309195168</v>
      </c>
      <c r="AE136" s="748">
        <f t="shared" si="117"/>
        <v>147.82458029400104</v>
      </c>
      <c r="AF136" s="748">
        <f t="shared" si="117"/>
        <v>148.02735749605048</v>
      </c>
      <c r="AG136" s="748">
        <f t="shared" si="117"/>
        <v>148.23013469809987</v>
      </c>
      <c r="AH136" s="748">
        <f t="shared" si="117"/>
        <v>148.43291190014921</v>
      </c>
      <c r="AI136" s="748">
        <f t="shared" si="117"/>
        <v>148.63568910219863</v>
      </c>
      <c r="AJ136" s="748">
        <f t="shared" si="117"/>
        <v>148.83846630424796</v>
      </c>
      <c r="AK136" s="748">
        <f t="shared" si="117"/>
        <v>149.04124350629735</v>
      </c>
      <c r="AL136" s="748">
        <f t="shared" si="117"/>
        <v>149.24402070834677</v>
      </c>
      <c r="AM136" s="748">
        <f t="shared" si="117"/>
        <v>149.44679791039613</v>
      </c>
      <c r="AN136" s="748">
        <f t="shared" si="117"/>
        <v>149.64957511244549</v>
      </c>
      <c r="AO136" s="748">
        <f t="shared" si="117"/>
        <v>149.85235231449491</v>
      </c>
      <c r="AP136" s="748">
        <f t="shared" si="117"/>
        <v>150.0551295165443</v>
      </c>
      <c r="AQ136" s="748">
        <f t="shared" si="117"/>
        <v>150.25790671859369</v>
      </c>
      <c r="AR136" s="748">
        <f t="shared" si="117"/>
        <v>150.46068392064305</v>
      </c>
      <c r="AS136" s="748">
        <f t="shared" si="117"/>
        <v>150.66346112269247</v>
      </c>
      <c r="AT136" s="748">
        <f t="shared" si="117"/>
        <v>150.8662383247418</v>
      </c>
      <c r="AU136" s="748">
        <f t="shared" si="117"/>
        <v>151.06901552679125</v>
      </c>
    </row>
    <row r="137" spans="4:47" s="576" customFormat="1">
      <c r="D137" s="744"/>
      <c r="E137" s="744" t="s">
        <v>906</v>
      </c>
      <c r="F137" s="745" t="str">
        <f>F136</f>
        <v>MKr19</v>
      </c>
      <c r="G137" s="748">
        <f>G136*2</f>
        <v>390.72</v>
      </c>
      <c r="H137" s="748">
        <f t="shared" ref="H137:AU137" si="118">H136*2</f>
        <v>405.68000000000006</v>
      </c>
      <c r="I137" s="748">
        <f t="shared" si="118"/>
        <v>484.88000000000005</v>
      </c>
      <c r="J137" s="748">
        <f t="shared" si="118"/>
        <v>476.96000000000004</v>
      </c>
      <c r="K137" s="748">
        <f t="shared" si="118"/>
        <v>402.16000000000008</v>
      </c>
      <c r="L137" s="748">
        <f t="shared" si="118"/>
        <v>387.20000000000005</v>
      </c>
      <c r="M137" s="748">
        <f t="shared" si="118"/>
        <v>323.83999999999997</v>
      </c>
      <c r="N137" s="748">
        <f t="shared" si="118"/>
        <v>324.72000000000003</v>
      </c>
      <c r="O137" s="748">
        <f t="shared" si="118"/>
        <v>470.11521376028224</v>
      </c>
      <c r="P137" s="748">
        <f t="shared" si="118"/>
        <v>301.4968989174601</v>
      </c>
      <c r="Q137" s="748">
        <f t="shared" si="118"/>
        <v>293.90107988104387</v>
      </c>
      <c r="R137" s="748">
        <f t="shared" si="118"/>
        <v>277.4225522238562</v>
      </c>
      <c r="S137" s="748">
        <f t="shared" si="118"/>
        <v>288.31042786956868</v>
      </c>
      <c r="T137" s="748">
        <f t="shared" si="118"/>
        <v>293.63565715330412</v>
      </c>
      <c r="U137" s="748">
        <f t="shared" si="118"/>
        <v>295.39069049918623</v>
      </c>
      <c r="V137" s="748">
        <f t="shared" si="118"/>
        <v>294.85353447364025</v>
      </c>
      <c r="W137" s="748">
        <f t="shared" si="118"/>
        <v>294.51522499787581</v>
      </c>
      <c r="X137" s="748">
        <f t="shared" si="118"/>
        <v>294.29793435883869</v>
      </c>
      <c r="Y137" s="748">
        <f t="shared" si="118"/>
        <v>294.11183639599045</v>
      </c>
      <c r="Z137" s="748">
        <f t="shared" si="118"/>
        <v>294.0451381825963</v>
      </c>
      <c r="AA137" s="748">
        <f t="shared" si="118"/>
        <v>294.02694297160701</v>
      </c>
      <c r="AB137" s="748">
        <f t="shared" si="118"/>
        <v>294.43249737570579</v>
      </c>
      <c r="AC137" s="748">
        <f t="shared" si="118"/>
        <v>294.83805177980463</v>
      </c>
      <c r="AD137" s="748">
        <f t="shared" si="118"/>
        <v>295.24360618390335</v>
      </c>
      <c r="AE137" s="748">
        <f t="shared" si="118"/>
        <v>295.64916058800208</v>
      </c>
      <c r="AF137" s="748">
        <f t="shared" si="118"/>
        <v>296.05471499210097</v>
      </c>
      <c r="AG137" s="748">
        <f t="shared" si="118"/>
        <v>296.46026939619975</v>
      </c>
      <c r="AH137" s="748">
        <f t="shared" si="118"/>
        <v>296.86582380029841</v>
      </c>
      <c r="AI137" s="748">
        <f t="shared" si="118"/>
        <v>297.27137820439725</v>
      </c>
      <c r="AJ137" s="748">
        <f t="shared" si="118"/>
        <v>297.67693260849592</v>
      </c>
      <c r="AK137" s="748">
        <f t="shared" si="118"/>
        <v>298.0824870125947</v>
      </c>
      <c r="AL137" s="748">
        <f t="shared" si="118"/>
        <v>298.48804141669353</v>
      </c>
      <c r="AM137" s="748">
        <f t="shared" si="118"/>
        <v>298.89359582079226</v>
      </c>
      <c r="AN137" s="748">
        <f t="shared" si="118"/>
        <v>299.29915022489098</v>
      </c>
      <c r="AO137" s="748">
        <f t="shared" si="118"/>
        <v>299.70470462898982</v>
      </c>
      <c r="AP137" s="748">
        <f t="shared" si="118"/>
        <v>300.1102590330886</v>
      </c>
      <c r="AQ137" s="748">
        <f t="shared" si="118"/>
        <v>300.51581343718738</v>
      </c>
      <c r="AR137" s="748">
        <f t="shared" si="118"/>
        <v>300.9213678412861</v>
      </c>
      <c r="AS137" s="748">
        <f t="shared" si="118"/>
        <v>301.32692224538494</v>
      </c>
      <c r="AT137" s="748">
        <f t="shared" si="118"/>
        <v>301.7324766494836</v>
      </c>
      <c r="AU137" s="748">
        <f t="shared" si="118"/>
        <v>302.13803105358249</v>
      </c>
    </row>
    <row r="138" spans="4:47" s="576" customFormat="1">
      <c r="D138" s="744"/>
      <c r="E138" s="744" t="s">
        <v>870</v>
      </c>
      <c r="F138" s="745" t="s">
        <v>243</v>
      </c>
      <c r="G138" s="748">
        <f>G137</f>
        <v>390.72</v>
      </c>
      <c r="H138" s="748">
        <f t="shared" ref="H138:AU138" si="119">H137</f>
        <v>405.68000000000006</v>
      </c>
      <c r="I138" s="748">
        <f t="shared" si="119"/>
        <v>484.88000000000005</v>
      </c>
      <c r="J138" s="748">
        <f t="shared" si="119"/>
        <v>476.96000000000004</v>
      </c>
      <c r="K138" s="748">
        <f t="shared" si="119"/>
        <v>402.16000000000008</v>
      </c>
      <c r="L138" s="748">
        <f t="shared" si="119"/>
        <v>387.20000000000005</v>
      </c>
      <c r="M138" s="748">
        <f t="shared" si="119"/>
        <v>323.83999999999997</v>
      </c>
      <c r="N138" s="748">
        <f t="shared" si="119"/>
        <v>324.72000000000003</v>
      </c>
      <c r="O138" s="748">
        <f t="shared" si="119"/>
        <v>470.11521376028224</v>
      </c>
      <c r="P138" s="748">
        <f t="shared" si="119"/>
        <v>301.4968989174601</v>
      </c>
      <c r="Q138" s="748">
        <f t="shared" si="119"/>
        <v>293.90107988104387</v>
      </c>
      <c r="R138" s="748">
        <f t="shared" si="119"/>
        <v>277.4225522238562</v>
      </c>
      <c r="S138" s="748">
        <f t="shared" si="119"/>
        <v>288.31042786956868</v>
      </c>
      <c r="T138" s="748">
        <f t="shared" si="119"/>
        <v>293.63565715330412</v>
      </c>
      <c r="U138" s="748">
        <f t="shared" si="119"/>
        <v>295.39069049918623</v>
      </c>
      <c r="V138" s="748">
        <f t="shared" si="119"/>
        <v>294.85353447364025</v>
      </c>
      <c r="W138" s="748">
        <f t="shared" si="119"/>
        <v>294.51522499787581</v>
      </c>
      <c r="X138" s="748">
        <f t="shared" si="119"/>
        <v>294.29793435883869</v>
      </c>
      <c r="Y138" s="748">
        <f t="shared" si="119"/>
        <v>294.11183639599045</v>
      </c>
      <c r="Z138" s="748">
        <f t="shared" si="119"/>
        <v>294.0451381825963</v>
      </c>
      <c r="AA138" s="748">
        <f t="shared" si="119"/>
        <v>294.02694297160701</v>
      </c>
      <c r="AB138" s="748">
        <f t="shared" si="119"/>
        <v>294.43249737570579</v>
      </c>
      <c r="AC138" s="748">
        <f t="shared" si="119"/>
        <v>294.83805177980463</v>
      </c>
      <c r="AD138" s="748">
        <f t="shared" si="119"/>
        <v>295.24360618390335</v>
      </c>
      <c r="AE138" s="748">
        <f t="shared" si="119"/>
        <v>295.64916058800208</v>
      </c>
      <c r="AF138" s="748">
        <f t="shared" si="119"/>
        <v>296.05471499210097</v>
      </c>
      <c r="AG138" s="748">
        <f t="shared" si="119"/>
        <v>296.46026939619975</v>
      </c>
      <c r="AH138" s="748">
        <f t="shared" si="119"/>
        <v>296.86582380029841</v>
      </c>
      <c r="AI138" s="748">
        <f t="shared" si="119"/>
        <v>297.27137820439725</v>
      </c>
      <c r="AJ138" s="748">
        <f t="shared" si="119"/>
        <v>297.67693260849592</v>
      </c>
      <c r="AK138" s="748">
        <f t="shared" si="119"/>
        <v>298.0824870125947</v>
      </c>
      <c r="AL138" s="748">
        <f t="shared" si="119"/>
        <v>298.48804141669353</v>
      </c>
      <c r="AM138" s="748">
        <f t="shared" si="119"/>
        <v>298.89359582079226</v>
      </c>
      <c r="AN138" s="748">
        <f t="shared" si="119"/>
        <v>299.29915022489098</v>
      </c>
      <c r="AO138" s="748">
        <f t="shared" si="119"/>
        <v>299.70470462898982</v>
      </c>
      <c r="AP138" s="748">
        <f t="shared" si="119"/>
        <v>300.1102590330886</v>
      </c>
      <c r="AQ138" s="748">
        <f t="shared" si="119"/>
        <v>300.51581343718738</v>
      </c>
      <c r="AR138" s="748">
        <f t="shared" si="119"/>
        <v>300.9213678412861</v>
      </c>
      <c r="AS138" s="748">
        <f t="shared" si="119"/>
        <v>301.32692224538494</v>
      </c>
      <c r="AT138" s="748">
        <f t="shared" si="119"/>
        <v>301.7324766494836</v>
      </c>
      <c r="AU138" s="748">
        <f t="shared" si="119"/>
        <v>302.13803105358249</v>
      </c>
    </row>
    <row r="139" spans="4:47" s="576" customFormat="1">
      <c r="D139" s="744"/>
      <c r="E139" s="744" t="s">
        <v>896</v>
      </c>
      <c r="F139" s="745" t="s">
        <v>243</v>
      </c>
      <c r="G139" s="748">
        <f>G138</f>
        <v>390.72</v>
      </c>
      <c r="H139" s="748">
        <f t="shared" ref="H139:AU139" si="120">H138</f>
        <v>405.68000000000006</v>
      </c>
      <c r="I139" s="748">
        <f t="shared" si="120"/>
        <v>484.88000000000005</v>
      </c>
      <c r="J139" s="748">
        <f t="shared" si="120"/>
        <v>476.96000000000004</v>
      </c>
      <c r="K139" s="748">
        <f t="shared" si="120"/>
        <v>402.16000000000008</v>
      </c>
      <c r="L139" s="748">
        <f t="shared" si="120"/>
        <v>387.20000000000005</v>
      </c>
      <c r="M139" s="748">
        <f t="shared" si="120"/>
        <v>323.83999999999997</v>
      </c>
      <c r="N139" s="748">
        <f t="shared" si="120"/>
        <v>324.72000000000003</v>
      </c>
      <c r="O139" s="748">
        <f t="shared" si="120"/>
        <v>470.11521376028224</v>
      </c>
      <c r="P139" s="748">
        <f t="shared" si="120"/>
        <v>301.4968989174601</v>
      </c>
      <c r="Q139" s="748">
        <f t="shared" si="120"/>
        <v>293.90107988104387</v>
      </c>
      <c r="R139" s="748">
        <f t="shared" si="120"/>
        <v>277.4225522238562</v>
      </c>
      <c r="S139" s="748">
        <f t="shared" si="120"/>
        <v>288.31042786956868</v>
      </c>
      <c r="T139" s="748">
        <f t="shared" si="120"/>
        <v>293.63565715330412</v>
      </c>
      <c r="U139" s="748">
        <f t="shared" si="120"/>
        <v>295.39069049918623</v>
      </c>
      <c r="V139" s="748">
        <f t="shared" si="120"/>
        <v>294.85353447364025</v>
      </c>
      <c r="W139" s="748">
        <f t="shared" si="120"/>
        <v>294.51522499787581</v>
      </c>
      <c r="X139" s="748">
        <f t="shared" si="120"/>
        <v>294.29793435883869</v>
      </c>
      <c r="Y139" s="748">
        <f t="shared" si="120"/>
        <v>294.11183639599045</v>
      </c>
      <c r="Z139" s="748">
        <f t="shared" si="120"/>
        <v>294.0451381825963</v>
      </c>
      <c r="AA139" s="748">
        <f t="shared" si="120"/>
        <v>294.02694297160701</v>
      </c>
      <c r="AB139" s="748">
        <f t="shared" si="120"/>
        <v>294.43249737570579</v>
      </c>
      <c r="AC139" s="748">
        <f t="shared" si="120"/>
        <v>294.83805177980463</v>
      </c>
      <c r="AD139" s="748">
        <f t="shared" si="120"/>
        <v>295.24360618390335</v>
      </c>
      <c r="AE139" s="748">
        <f t="shared" si="120"/>
        <v>295.64916058800208</v>
      </c>
      <c r="AF139" s="748">
        <f t="shared" si="120"/>
        <v>296.05471499210097</v>
      </c>
      <c r="AG139" s="748">
        <f t="shared" si="120"/>
        <v>296.46026939619975</v>
      </c>
      <c r="AH139" s="748">
        <f t="shared" si="120"/>
        <v>296.86582380029841</v>
      </c>
      <c r="AI139" s="748">
        <f t="shared" si="120"/>
        <v>297.27137820439725</v>
      </c>
      <c r="AJ139" s="748">
        <f t="shared" si="120"/>
        <v>297.67693260849592</v>
      </c>
      <c r="AK139" s="748">
        <f t="shared" si="120"/>
        <v>298.0824870125947</v>
      </c>
      <c r="AL139" s="748">
        <f t="shared" si="120"/>
        <v>298.48804141669353</v>
      </c>
      <c r="AM139" s="748">
        <f t="shared" si="120"/>
        <v>298.89359582079226</v>
      </c>
      <c r="AN139" s="748">
        <f t="shared" si="120"/>
        <v>299.29915022489098</v>
      </c>
      <c r="AO139" s="748">
        <f t="shared" si="120"/>
        <v>299.70470462898982</v>
      </c>
      <c r="AP139" s="748">
        <f t="shared" si="120"/>
        <v>300.1102590330886</v>
      </c>
      <c r="AQ139" s="748">
        <f t="shared" si="120"/>
        <v>300.51581343718738</v>
      </c>
      <c r="AR139" s="748">
        <f t="shared" si="120"/>
        <v>300.9213678412861</v>
      </c>
      <c r="AS139" s="748">
        <f t="shared" si="120"/>
        <v>301.32692224538494</v>
      </c>
      <c r="AT139" s="748">
        <f t="shared" si="120"/>
        <v>301.7324766494836</v>
      </c>
      <c r="AU139" s="748">
        <f t="shared" si="120"/>
        <v>302.13803105358249</v>
      </c>
    </row>
    <row r="140" spans="4:47" s="576" customFormat="1">
      <c r="D140" s="744"/>
      <c r="E140" s="744" t="s">
        <v>201</v>
      </c>
      <c r="F140" s="745" t="str">
        <f>F135</f>
        <v>MKr19</v>
      </c>
      <c r="G140" s="748">
        <f>G135</f>
        <v>177.6</v>
      </c>
      <c r="H140" s="748">
        <f t="shared" ref="H140:AU140" si="121">H135</f>
        <v>184.4</v>
      </c>
      <c r="I140" s="748">
        <f t="shared" si="121"/>
        <v>220.4</v>
      </c>
      <c r="J140" s="748">
        <f t="shared" si="121"/>
        <v>216.8</v>
      </c>
      <c r="K140" s="748">
        <f t="shared" si="121"/>
        <v>182.8</v>
      </c>
      <c r="L140" s="748">
        <f t="shared" si="121"/>
        <v>176</v>
      </c>
      <c r="M140" s="748">
        <f t="shared" si="121"/>
        <v>147.19999999999999</v>
      </c>
      <c r="N140" s="748">
        <f t="shared" si="121"/>
        <v>147.6</v>
      </c>
      <c r="O140" s="748">
        <f t="shared" si="121"/>
        <v>213.68873352740101</v>
      </c>
      <c r="P140" s="748">
        <f t="shared" si="121"/>
        <v>137.04404496248185</v>
      </c>
      <c r="Q140" s="748">
        <f t="shared" si="121"/>
        <v>133.59139994592903</v>
      </c>
      <c r="R140" s="748">
        <f t="shared" si="121"/>
        <v>126.1011601017528</v>
      </c>
      <c r="S140" s="748">
        <f t="shared" si="121"/>
        <v>131.05019448616758</v>
      </c>
      <c r="T140" s="748">
        <f t="shared" si="121"/>
        <v>133.47075325150186</v>
      </c>
      <c r="U140" s="748">
        <f t="shared" si="121"/>
        <v>134.26849568144829</v>
      </c>
      <c r="V140" s="748">
        <f t="shared" si="121"/>
        <v>134.02433385165466</v>
      </c>
      <c r="W140" s="748">
        <f t="shared" si="121"/>
        <v>133.87055681721625</v>
      </c>
      <c r="X140" s="748">
        <f t="shared" si="121"/>
        <v>133.77178834492668</v>
      </c>
      <c r="Y140" s="748">
        <f t="shared" si="121"/>
        <v>133.68719836181384</v>
      </c>
      <c r="Z140" s="748">
        <f t="shared" si="121"/>
        <v>133.65688099208921</v>
      </c>
      <c r="AA140" s="748">
        <f t="shared" si="121"/>
        <v>133.64861044163953</v>
      </c>
      <c r="AB140" s="748">
        <f t="shared" si="121"/>
        <v>133.83295335259353</v>
      </c>
      <c r="AC140" s="748">
        <f t="shared" si="121"/>
        <v>134.01729626354754</v>
      </c>
      <c r="AD140" s="748">
        <f t="shared" si="121"/>
        <v>134.20163917450151</v>
      </c>
      <c r="AE140" s="748">
        <f t="shared" si="121"/>
        <v>134.38598208545548</v>
      </c>
      <c r="AF140" s="748">
        <f t="shared" si="121"/>
        <v>134.57032499640951</v>
      </c>
      <c r="AG140" s="748">
        <f t="shared" si="121"/>
        <v>134.75466790736351</v>
      </c>
      <c r="AH140" s="748">
        <f t="shared" si="121"/>
        <v>134.93901081831746</v>
      </c>
      <c r="AI140" s="748">
        <f t="shared" si="121"/>
        <v>135.12335372927146</v>
      </c>
      <c r="AJ140" s="748">
        <f t="shared" si="121"/>
        <v>135.3076966402254</v>
      </c>
      <c r="AK140" s="748">
        <f t="shared" si="121"/>
        <v>135.4920395511794</v>
      </c>
      <c r="AL140" s="748">
        <f t="shared" si="121"/>
        <v>135.6763824621334</v>
      </c>
      <c r="AM140" s="748">
        <f t="shared" si="121"/>
        <v>135.86072537308738</v>
      </c>
      <c r="AN140" s="748">
        <f t="shared" si="121"/>
        <v>136.04506828404135</v>
      </c>
      <c r="AO140" s="748">
        <f t="shared" si="121"/>
        <v>136.22941119499535</v>
      </c>
      <c r="AP140" s="748">
        <f t="shared" si="121"/>
        <v>136.41375410594935</v>
      </c>
      <c r="AQ140" s="748">
        <f t="shared" si="121"/>
        <v>136.59809701690335</v>
      </c>
      <c r="AR140" s="748">
        <f t="shared" si="121"/>
        <v>136.7824399278573</v>
      </c>
      <c r="AS140" s="748">
        <f t="shared" si="121"/>
        <v>136.96678283881133</v>
      </c>
      <c r="AT140" s="748">
        <f t="shared" si="121"/>
        <v>137.15112574976527</v>
      </c>
      <c r="AU140" s="748">
        <f t="shared" si="121"/>
        <v>137.3354686607193</v>
      </c>
    </row>
    <row r="141" spans="4:47" s="576" customFormat="1">
      <c r="D141" s="744"/>
      <c r="E141" s="744" t="s">
        <v>853</v>
      </c>
      <c r="F141" s="745" t="str">
        <f>F136</f>
        <v>MKr19</v>
      </c>
      <c r="G141" s="748">
        <f>G134</f>
        <v>44.4</v>
      </c>
      <c r="H141" s="748">
        <f t="shared" ref="H141:AU141" si="122">H134</f>
        <v>46.1</v>
      </c>
      <c r="I141" s="748">
        <f t="shared" si="122"/>
        <v>55.1</v>
      </c>
      <c r="J141" s="748">
        <f t="shared" si="122"/>
        <v>54.2</v>
      </c>
      <c r="K141" s="748">
        <f t="shared" si="122"/>
        <v>45.7</v>
      </c>
      <c r="L141" s="748">
        <f t="shared" si="122"/>
        <v>44</v>
      </c>
      <c r="M141" s="748">
        <f t="shared" si="122"/>
        <v>36.799999999999997</v>
      </c>
      <c r="N141" s="748">
        <f t="shared" si="122"/>
        <v>36.9</v>
      </c>
      <c r="O141" s="748">
        <f>O134</f>
        <v>53.422183381850253</v>
      </c>
      <c r="P141" s="748">
        <f t="shared" si="122"/>
        <v>34.261011240620462</v>
      </c>
      <c r="Q141" s="748">
        <f t="shared" si="122"/>
        <v>33.397849986482257</v>
      </c>
      <c r="R141" s="748">
        <f t="shared" si="122"/>
        <v>31.525290025438199</v>
      </c>
      <c r="S141" s="748">
        <f t="shared" si="122"/>
        <v>32.762548621541896</v>
      </c>
      <c r="T141" s="748">
        <f t="shared" si="122"/>
        <v>33.367688312875465</v>
      </c>
      <c r="U141" s="748">
        <f t="shared" si="122"/>
        <v>33.567123920362071</v>
      </c>
      <c r="V141" s="748">
        <f t="shared" si="122"/>
        <v>33.506083462913665</v>
      </c>
      <c r="W141" s="748">
        <f t="shared" si="122"/>
        <v>33.467639204304064</v>
      </c>
      <c r="X141" s="748">
        <f t="shared" si="122"/>
        <v>33.442947086231669</v>
      </c>
      <c r="Y141" s="748">
        <f t="shared" si="122"/>
        <v>33.42179959045346</v>
      </c>
      <c r="Z141" s="748">
        <f t="shared" si="122"/>
        <v>33.414220248022303</v>
      </c>
      <c r="AA141" s="748">
        <f t="shared" si="122"/>
        <v>33.412152610409883</v>
      </c>
      <c r="AB141" s="748">
        <f t="shared" si="122"/>
        <v>33.458238338148384</v>
      </c>
      <c r="AC141" s="748">
        <f t="shared" si="122"/>
        <v>33.504324065886884</v>
      </c>
      <c r="AD141" s="748">
        <f t="shared" si="122"/>
        <v>33.550409793625377</v>
      </c>
      <c r="AE141" s="748">
        <f t="shared" si="122"/>
        <v>33.59649552136387</v>
      </c>
      <c r="AF141" s="748">
        <f t="shared" si="122"/>
        <v>33.642581249102378</v>
      </c>
      <c r="AG141" s="748">
        <f t="shared" si="122"/>
        <v>33.688666976840878</v>
      </c>
      <c r="AH141" s="748">
        <f t="shared" si="122"/>
        <v>33.734752704579364</v>
      </c>
      <c r="AI141" s="748">
        <f t="shared" si="122"/>
        <v>33.780838432317864</v>
      </c>
      <c r="AJ141" s="748">
        <f t="shared" si="122"/>
        <v>33.82692416005635</v>
      </c>
      <c r="AK141" s="748">
        <f t="shared" si="122"/>
        <v>33.873009887794851</v>
      </c>
      <c r="AL141" s="748">
        <f t="shared" si="122"/>
        <v>33.919095615533351</v>
      </c>
      <c r="AM141" s="748">
        <f t="shared" si="122"/>
        <v>33.965181343271844</v>
      </c>
      <c r="AN141" s="748">
        <f t="shared" si="122"/>
        <v>34.011267071010337</v>
      </c>
      <c r="AO141" s="748">
        <f t="shared" si="122"/>
        <v>34.057352798748838</v>
      </c>
      <c r="AP141" s="748">
        <f t="shared" si="122"/>
        <v>34.103438526487338</v>
      </c>
      <c r="AQ141" s="748">
        <f t="shared" si="122"/>
        <v>34.149524254225838</v>
      </c>
      <c r="AR141" s="748">
        <f t="shared" si="122"/>
        <v>34.195609981964324</v>
      </c>
      <c r="AS141" s="748">
        <f t="shared" si="122"/>
        <v>34.241695709702832</v>
      </c>
      <c r="AT141" s="748">
        <f t="shared" si="122"/>
        <v>34.287781437441318</v>
      </c>
      <c r="AU141" s="748">
        <f t="shared" si="122"/>
        <v>34.333867165179825</v>
      </c>
    </row>
    <row r="142" spans="4:47" s="576" customFormat="1">
      <c r="D142" s="744"/>
      <c r="E142" s="744" t="s">
        <v>77</v>
      </c>
      <c r="F142" s="747" t="s">
        <v>1113</v>
      </c>
      <c r="G142" s="750">
        <f>G224</f>
        <v>46</v>
      </c>
      <c r="H142" s="750">
        <f t="shared" ref="H142:N142" si="123">H224</f>
        <v>46</v>
      </c>
      <c r="I142" s="750">
        <f t="shared" si="123"/>
        <v>46</v>
      </c>
      <c r="J142" s="750">
        <f t="shared" si="123"/>
        <v>45.7</v>
      </c>
      <c r="K142" s="750">
        <f t="shared" si="123"/>
        <v>45.3</v>
      </c>
      <c r="L142" s="750">
        <f t="shared" si="123"/>
        <v>44.9</v>
      </c>
      <c r="M142" s="750">
        <f t="shared" si="123"/>
        <v>45.4</v>
      </c>
      <c r="N142" s="750">
        <f t="shared" si="123"/>
        <v>45.9</v>
      </c>
      <c r="O142" s="749">
        <f t="shared" ref="O142:X144" si="124">INDEX($D$277:$O$309,MATCH(O$23,$C$277:$C$309,0),MATCH($E142,$D$274:$O$274,0))</f>
        <v>45.179472202489855</v>
      </c>
      <c r="P142" s="749">
        <f t="shared" si="124"/>
        <v>45.117600562980392</v>
      </c>
      <c r="Q142" s="749">
        <f t="shared" si="124"/>
        <v>45.248389703133633</v>
      </c>
      <c r="R142" s="749">
        <f t="shared" si="124"/>
        <v>45.190250127598674</v>
      </c>
      <c r="S142" s="749">
        <f t="shared" si="124"/>
        <v>45.392121473736516</v>
      </c>
      <c r="T142" s="749">
        <f t="shared" si="124"/>
        <v>45.644433925671841</v>
      </c>
      <c r="U142" s="749">
        <f t="shared" si="124"/>
        <v>45.923015098100862</v>
      </c>
      <c r="V142" s="749">
        <f t="shared" si="124"/>
        <v>46.207001444406053</v>
      </c>
      <c r="W142" s="749">
        <f t="shared" si="124"/>
        <v>46.419730980267232</v>
      </c>
      <c r="X142" s="749">
        <f t="shared" si="124"/>
        <v>46.631059323825987</v>
      </c>
      <c r="Y142" s="749">
        <f t="shared" ref="Y142:AH144" si="125">INDEX($D$277:$O$309,MATCH(Y$23,$C$277:$C$309,0),MATCH($E142,$D$274:$O$274,0))</f>
        <v>46.839924523073165</v>
      </c>
      <c r="Z142" s="749">
        <f t="shared" si="125"/>
        <v>47.054043906757286</v>
      </c>
      <c r="AA142" s="749">
        <f t="shared" si="125"/>
        <v>47.263106384197172</v>
      </c>
      <c r="AB142" s="749">
        <f t="shared" si="125"/>
        <v>47.363169268373781</v>
      </c>
      <c r="AC142" s="749">
        <f t="shared" si="125"/>
        <v>47.463048827686151</v>
      </c>
      <c r="AD142" s="749">
        <f t="shared" si="125"/>
        <v>47.562746231205452</v>
      </c>
      <c r="AE142" s="749">
        <f t="shared" si="125"/>
        <v>47.662262629564232</v>
      </c>
      <c r="AF142" s="749">
        <f t="shared" si="125"/>
        <v>47.761599155151828</v>
      </c>
      <c r="AG142" s="749">
        <f t="shared" si="125"/>
        <v>47.861557709026719</v>
      </c>
      <c r="AH142" s="749">
        <f t="shared" si="125"/>
        <v>47.961224086497161</v>
      </c>
      <c r="AI142" s="749">
        <f t="shared" ref="AI142:AU144" si="126">INDEX($D$277:$O$309,MATCH(AI$23,$C$277:$C$309,0),MATCH($E142,$D$274:$O$274,0))</f>
        <v>48.06060022028862</v>
      </c>
      <c r="AJ142" s="749">
        <f t="shared" si="126"/>
        <v>48.159688016832391</v>
      </c>
      <c r="AK142" s="749">
        <f t="shared" si="126"/>
        <v>48.258489356547372</v>
      </c>
      <c r="AL142" s="749">
        <f t="shared" si="126"/>
        <v>48.37762671431922</v>
      </c>
      <c r="AM142" s="749">
        <f t="shared" si="126"/>
        <v>48.496315696545963</v>
      </c>
      <c r="AN142" s="749">
        <f t="shared" si="126"/>
        <v>48.614559135690349</v>
      </c>
      <c r="AO142" s="749">
        <f t="shared" si="126"/>
        <v>48.73235982855357</v>
      </c>
      <c r="AP142" s="749">
        <f t="shared" si="126"/>
        <v>48.849720536660548</v>
      </c>
      <c r="AQ142" s="749">
        <f t="shared" si="126"/>
        <v>49.024574818868821</v>
      </c>
      <c r="AR142" s="749">
        <f t="shared" si="126"/>
        <v>49.198719487894593</v>
      </c>
      <c r="AS142" s="749">
        <f t="shared" si="126"/>
        <v>49.372158440659689</v>
      </c>
      <c r="AT142" s="749">
        <f t="shared" si="126"/>
        <v>49.544895527221009</v>
      </c>
      <c r="AU142" s="749">
        <f t="shared" si="126"/>
        <v>49.716934551280723</v>
      </c>
    </row>
    <row r="143" spans="4:47" s="576" customFormat="1">
      <c r="D143" s="744"/>
      <c r="E143" s="744" t="s">
        <v>76</v>
      </c>
      <c r="F143" s="747" t="s">
        <v>1113</v>
      </c>
      <c r="G143" s="750">
        <f>G233</f>
        <v>73.7</v>
      </c>
      <c r="H143" s="750">
        <f t="shared" ref="H143:N143" si="127">H233</f>
        <v>73.7</v>
      </c>
      <c r="I143" s="750">
        <f t="shared" si="127"/>
        <v>73.7</v>
      </c>
      <c r="J143" s="750">
        <f t="shared" si="127"/>
        <v>72.7</v>
      </c>
      <c r="K143" s="750">
        <f t="shared" si="127"/>
        <v>71.8</v>
      </c>
      <c r="L143" s="750">
        <f t="shared" si="127"/>
        <v>70.8</v>
      </c>
      <c r="M143" s="750">
        <f t="shared" si="127"/>
        <v>71.2</v>
      </c>
      <c r="N143" s="750">
        <f t="shared" si="127"/>
        <v>71.599999999999994</v>
      </c>
      <c r="O143" s="749">
        <f t="shared" si="124"/>
        <v>69.494890781791952</v>
      </c>
      <c r="P143" s="749">
        <f t="shared" si="124"/>
        <v>79.702433091587693</v>
      </c>
      <c r="Q143" s="749">
        <f t="shared" si="124"/>
        <v>70.05883849089301</v>
      </c>
      <c r="R143" s="749">
        <f t="shared" si="124"/>
        <v>72.96988813207048</v>
      </c>
      <c r="S143" s="749">
        <f t="shared" si="124"/>
        <v>73.266464764716645</v>
      </c>
      <c r="T143" s="749">
        <f t="shared" si="124"/>
        <v>72.556552851440529</v>
      </c>
      <c r="U143" s="749">
        <f t="shared" si="124"/>
        <v>72.210497880380103</v>
      </c>
      <c r="V143" s="749">
        <f t="shared" si="124"/>
        <v>71.898055834432554</v>
      </c>
      <c r="W143" s="749">
        <f t="shared" si="124"/>
        <v>71.654987558314588</v>
      </c>
      <c r="X143" s="749">
        <f t="shared" si="124"/>
        <v>71.438770667888747</v>
      </c>
      <c r="Y143" s="749">
        <f t="shared" si="125"/>
        <v>71.247553781993901</v>
      </c>
      <c r="Z143" s="749">
        <f t="shared" si="125"/>
        <v>71.090380717662555</v>
      </c>
      <c r="AA143" s="749">
        <f t="shared" si="125"/>
        <v>70.954525432358807</v>
      </c>
      <c r="AB143" s="749">
        <f t="shared" si="125"/>
        <v>70.98353554352687</v>
      </c>
      <c r="AC143" s="749">
        <f t="shared" si="125"/>
        <v>71.012297087670845</v>
      </c>
      <c r="AD143" s="749">
        <f t="shared" si="125"/>
        <v>71.040811038704931</v>
      </c>
      <c r="AE143" s="749">
        <f t="shared" si="125"/>
        <v>71.069078333891227</v>
      </c>
      <c r="AF143" s="749">
        <f t="shared" si="125"/>
        <v>71.097099874290336</v>
      </c>
      <c r="AG143" s="749">
        <f t="shared" si="125"/>
        <v>71.116603103597413</v>
      </c>
      <c r="AH143" s="749">
        <f t="shared" si="125"/>
        <v>71.135883985569592</v>
      </c>
      <c r="AI143" s="749">
        <f t="shared" si="126"/>
        <v>71.154944080579142</v>
      </c>
      <c r="AJ143" s="749">
        <f t="shared" si="126"/>
        <v>71.173784903100966</v>
      </c>
      <c r="AK143" s="749">
        <f t="shared" si="126"/>
        <v>71.192407922440651</v>
      </c>
      <c r="AL143" s="749">
        <f t="shared" si="126"/>
        <v>60.675957923099851</v>
      </c>
      <c r="AM143" s="749">
        <f t="shared" si="126"/>
        <v>60.68702193291076</v>
      </c>
      <c r="AN143" s="749">
        <f t="shared" si="126"/>
        <v>60.697960969252613</v>
      </c>
      <c r="AO143" s="749">
        <f t="shared" si="126"/>
        <v>60.70877659234629</v>
      </c>
      <c r="AP143" s="749">
        <f t="shared" si="126"/>
        <v>60.719470329291362</v>
      </c>
      <c r="AQ143" s="749">
        <f t="shared" si="126"/>
        <v>60.774302670903623</v>
      </c>
      <c r="AR143" s="749">
        <f t="shared" si="126"/>
        <v>60.828784329157571</v>
      </c>
      <c r="AS143" s="749">
        <f t="shared" si="126"/>
        <v>60.882916997101603</v>
      </c>
      <c r="AT143" s="749">
        <f t="shared" si="126"/>
        <v>60.936702331670006</v>
      </c>
      <c r="AU143" s="749">
        <f t="shared" si="126"/>
        <v>60.990141954059872</v>
      </c>
    </row>
    <row r="144" spans="4:47" s="576" customFormat="1">
      <c r="D144" s="744"/>
      <c r="E144" s="744" t="s">
        <v>43</v>
      </c>
      <c r="F144" s="747" t="s">
        <v>1113</v>
      </c>
      <c r="G144" s="748">
        <f>G236</f>
        <v>41.5</v>
      </c>
      <c r="H144" s="748">
        <f t="shared" ref="H144:N144" si="128">H236</f>
        <v>41.5</v>
      </c>
      <c r="I144" s="748">
        <f t="shared" si="128"/>
        <v>41.5</v>
      </c>
      <c r="J144" s="748">
        <f t="shared" si="128"/>
        <v>41.2</v>
      </c>
      <c r="K144" s="748">
        <f t="shared" si="128"/>
        <v>40.799999999999997</v>
      </c>
      <c r="L144" s="748">
        <f t="shared" si="128"/>
        <v>40.5</v>
      </c>
      <c r="M144" s="748">
        <f t="shared" si="128"/>
        <v>40.9</v>
      </c>
      <c r="N144" s="748">
        <f t="shared" si="128"/>
        <v>41.4</v>
      </c>
      <c r="O144" s="749">
        <f t="shared" si="124"/>
        <v>41.634898055339931</v>
      </c>
      <c r="P144" s="749">
        <f t="shared" si="124"/>
        <v>41.634898055339931</v>
      </c>
      <c r="Q144" s="749">
        <f t="shared" si="124"/>
        <v>41.962449107096752</v>
      </c>
      <c r="R144" s="749">
        <f t="shared" si="124"/>
        <v>42.37591413450582</v>
      </c>
      <c r="S144" s="749">
        <f t="shared" si="124"/>
        <v>42.791201303703261</v>
      </c>
      <c r="T144" s="749">
        <f t="shared" si="124"/>
        <v>43.208184541451871</v>
      </c>
      <c r="U144" s="749">
        <f t="shared" si="124"/>
        <v>43.626739530646304</v>
      </c>
      <c r="V144" s="749">
        <f t="shared" si="124"/>
        <v>44.046743692103149</v>
      </c>
      <c r="W144" s="749">
        <f t="shared" si="124"/>
        <v>44.303492323512977</v>
      </c>
      <c r="X144" s="749">
        <f t="shared" si="124"/>
        <v>44.56044844066794</v>
      </c>
      <c r="Y144" s="749">
        <f t="shared" si="125"/>
        <v>44.817607952103295</v>
      </c>
      <c r="Z144" s="749">
        <f t="shared" si="125"/>
        <v>45.074966809344929</v>
      </c>
      <c r="AA144" s="749">
        <f t="shared" si="125"/>
        <v>45.332521006394593</v>
      </c>
      <c r="AB144" s="749">
        <f t="shared" si="125"/>
        <v>45.549544275390517</v>
      </c>
      <c r="AC144" s="749">
        <f t="shared" si="125"/>
        <v>45.766845997017583</v>
      </c>
      <c r="AD144" s="749">
        <f t="shared" si="125"/>
        <v>45.93621057509371</v>
      </c>
      <c r="AE144" s="749">
        <f t="shared" si="125"/>
        <v>46.091987325464736</v>
      </c>
      <c r="AF144" s="749">
        <f t="shared" si="125"/>
        <v>46.247727566987081</v>
      </c>
      <c r="AG144" s="749">
        <f t="shared" si="125"/>
        <v>46.390503884981669</v>
      </c>
      <c r="AH144" s="749">
        <f t="shared" si="125"/>
        <v>46.533237561648519</v>
      </c>
      <c r="AI144" s="749">
        <f t="shared" si="126"/>
        <v>46.675927978934773</v>
      </c>
      <c r="AJ144" s="749">
        <f t="shared" si="126"/>
        <v>46.818574524689666</v>
      </c>
      <c r="AK144" s="749">
        <f t="shared" si="126"/>
        <v>46.961176592602918</v>
      </c>
      <c r="AL144" s="749">
        <f t="shared" si="126"/>
        <v>46.961176592602918</v>
      </c>
      <c r="AM144" s="749">
        <f t="shared" si="126"/>
        <v>46.961176592602918</v>
      </c>
      <c r="AN144" s="749">
        <f t="shared" si="126"/>
        <v>46.961176592602918</v>
      </c>
      <c r="AO144" s="749">
        <f t="shared" si="126"/>
        <v>46.961176592602918</v>
      </c>
      <c r="AP144" s="749">
        <f t="shared" si="126"/>
        <v>46.961176592602918</v>
      </c>
      <c r="AQ144" s="749">
        <f t="shared" si="126"/>
        <v>46.961176592602918</v>
      </c>
      <c r="AR144" s="749">
        <f t="shared" si="126"/>
        <v>46.961176592602918</v>
      </c>
      <c r="AS144" s="749">
        <f t="shared" si="126"/>
        <v>46.961176592602918</v>
      </c>
      <c r="AT144" s="749">
        <f t="shared" si="126"/>
        <v>46.961176592602918</v>
      </c>
      <c r="AU144" s="749">
        <f t="shared" si="126"/>
        <v>46.961176592602918</v>
      </c>
    </row>
    <row r="145" spans="4:47" s="576" customFormat="1">
      <c r="D145" s="744" t="s">
        <v>1116</v>
      </c>
      <c r="E145" s="744" t="s">
        <v>847</v>
      </c>
      <c r="F145" s="745" t="s">
        <v>243</v>
      </c>
      <c r="G145" s="748">
        <f>G144</f>
        <v>41.5</v>
      </c>
      <c r="H145" s="748">
        <f t="shared" ref="H145:AU145" si="129">H144</f>
        <v>41.5</v>
      </c>
      <c r="I145" s="748">
        <f t="shared" si="129"/>
        <v>41.5</v>
      </c>
      <c r="J145" s="748">
        <f t="shared" si="129"/>
        <v>41.2</v>
      </c>
      <c r="K145" s="748">
        <f t="shared" si="129"/>
        <v>40.799999999999997</v>
      </c>
      <c r="L145" s="748">
        <f t="shared" si="129"/>
        <v>40.5</v>
      </c>
      <c r="M145" s="748">
        <f t="shared" si="129"/>
        <v>40.9</v>
      </c>
      <c r="N145" s="748">
        <f t="shared" si="129"/>
        <v>41.4</v>
      </c>
      <c r="O145" s="748">
        <f t="shared" si="129"/>
        <v>41.634898055339931</v>
      </c>
      <c r="P145" s="748">
        <f t="shared" si="129"/>
        <v>41.634898055339931</v>
      </c>
      <c r="Q145" s="748">
        <f t="shared" si="129"/>
        <v>41.962449107096752</v>
      </c>
      <c r="R145" s="748">
        <f t="shared" si="129"/>
        <v>42.37591413450582</v>
      </c>
      <c r="S145" s="748">
        <f t="shared" si="129"/>
        <v>42.791201303703261</v>
      </c>
      <c r="T145" s="748">
        <f t="shared" si="129"/>
        <v>43.208184541451871</v>
      </c>
      <c r="U145" s="748">
        <f t="shared" si="129"/>
        <v>43.626739530646304</v>
      </c>
      <c r="V145" s="748">
        <f t="shared" si="129"/>
        <v>44.046743692103149</v>
      </c>
      <c r="W145" s="748">
        <f t="shared" si="129"/>
        <v>44.303492323512977</v>
      </c>
      <c r="X145" s="748">
        <f t="shared" si="129"/>
        <v>44.56044844066794</v>
      </c>
      <c r="Y145" s="748">
        <f t="shared" si="129"/>
        <v>44.817607952103295</v>
      </c>
      <c r="Z145" s="748">
        <f t="shared" si="129"/>
        <v>45.074966809344929</v>
      </c>
      <c r="AA145" s="748">
        <f t="shared" si="129"/>
        <v>45.332521006394593</v>
      </c>
      <c r="AB145" s="748">
        <f t="shared" si="129"/>
        <v>45.549544275390517</v>
      </c>
      <c r="AC145" s="748">
        <f t="shared" si="129"/>
        <v>45.766845997017583</v>
      </c>
      <c r="AD145" s="748">
        <f t="shared" si="129"/>
        <v>45.93621057509371</v>
      </c>
      <c r="AE145" s="748">
        <f t="shared" si="129"/>
        <v>46.091987325464736</v>
      </c>
      <c r="AF145" s="748">
        <f t="shared" si="129"/>
        <v>46.247727566987081</v>
      </c>
      <c r="AG145" s="748">
        <f t="shared" si="129"/>
        <v>46.390503884981669</v>
      </c>
      <c r="AH145" s="748">
        <f t="shared" si="129"/>
        <v>46.533237561648519</v>
      </c>
      <c r="AI145" s="748">
        <f t="shared" si="129"/>
        <v>46.675927978934773</v>
      </c>
      <c r="AJ145" s="748">
        <f t="shared" si="129"/>
        <v>46.818574524689666</v>
      </c>
      <c r="AK145" s="748">
        <f t="shared" si="129"/>
        <v>46.961176592602918</v>
      </c>
      <c r="AL145" s="748">
        <f t="shared" si="129"/>
        <v>46.961176592602918</v>
      </c>
      <c r="AM145" s="748">
        <f t="shared" si="129"/>
        <v>46.961176592602918</v>
      </c>
      <c r="AN145" s="748">
        <f t="shared" si="129"/>
        <v>46.961176592602918</v>
      </c>
      <c r="AO145" s="748">
        <f t="shared" si="129"/>
        <v>46.961176592602918</v>
      </c>
      <c r="AP145" s="748">
        <f t="shared" si="129"/>
        <v>46.961176592602918</v>
      </c>
      <c r="AQ145" s="748">
        <f t="shared" si="129"/>
        <v>46.961176592602918</v>
      </c>
      <c r="AR145" s="748">
        <f t="shared" si="129"/>
        <v>46.961176592602918</v>
      </c>
      <c r="AS145" s="748">
        <f t="shared" si="129"/>
        <v>46.961176592602918</v>
      </c>
      <c r="AT145" s="748">
        <f t="shared" si="129"/>
        <v>46.961176592602918</v>
      </c>
      <c r="AU145" s="748">
        <f t="shared" si="129"/>
        <v>46.961176592602918</v>
      </c>
    </row>
    <row r="146" spans="4:47" s="576" customFormat="1">
      <c r="D146" s="744"/>
      <c r="E146" s="744" t="s">
        <v>425</v>
      </c>
      <c r="F146" s="745" t="s">
        <v>243</v>
      </c>
      <c r="G146" s="748">
        <f>$E195</f>
        <v>72.400000000000006</v>
      </c>
      <c r="H146" s="748">
        <f t="shared" ref="H146:AU150" si="130">$E195</f>
        <v>72.400000000000006</v>
      </c>
      <c r="I146" s="748">
        <f t="shared" si="130"/>
        <v>72.400000000000006</v>
      </c>
      <c r="J146" s="748">
        <f t="shared" si="130"/>
        <v>72.400000000000006</v>
      </c>
      <c r="K146" s="748">
        <f t="shared" si="130"/>
        <v>72.400000000000006</v>
      </c>
      <c r="L146" s="748">
        <f t="shared" si="130"/>
        <v>72.400000000000006</v>
      </c>
      <c r="M146" s="748">
        <f t="shared" si="130"/>
        <v>72.400000000000006</v>
      </c>
      <c r="N146" s="748">
        <f t="shared" si="130"/>
        <v>72.400000000000006</v>
      </c>
      <c r="O146" s="748">
        <f t="shared" si="130"/>
        <v>72.400000000000006</v>
      </c>
      <c r="P146" s="748">
        <f t="shared" si="130"/>
        <v>72.400000000000006</v>
      </c>
      <c r="Q146" s="748">
        <f t="shared" si="130"/>
        <v>72.400000000000006</v>
      </c>
      <c r="R146" s="748">
        <f t="shared" si="130"/>
        <v>72.400000000000006</v>
      </c>
      <c r="S146" s="748">
        <f t="shared" si="130"/>
        <v>72.400000000000006</v>
      </c>
      <c r="T146" s="748">
        <f t="shared" si="130"/>
        <v>72.400000000000006</v>
      </c>
      <c r="U146" s="748">
        <f t="shared" si="130"/>
        <v>72.400000000000006</v>
      </c>
      <c r="V146" s="748">
        <f t="shared" si="130"/>
        <v>72.400000000000006</v>
      </c>
      <c r="W146" s="748">
        <f t="shared" si="130"/>
        <v>72.400000000000006</v>
      </c>
      <c r="X146" s="748">
        <f t="shared" si="130"/>
        <v>72.400000000000006</v>
      </c>
      <c r="Y146" s="748">
        <f t="shared" si="130"/>
        <v>72.400000000000006</v>
      </c>
      <c r="Z146" s="748">
        <f t="shared" si="130"/>
        <v>72.400000000000006</v>
      </c>
      <c r="AA146" s="748">
        <f t="shared" si="130"/>
        <v>72.400000000000006</v>
      </c>
      <c r="AB146" s="748">
        <f t="shared" si="130"/>
        <v>72.400000000000006</v>
      </c>
      <c r="AC146" s="748">
        <f t="shared" si="130"/>
        <v>72.400000000000006</v>
      </c>
      <c r="AD146" s="748">
        <f t="shared" si="130"/>
        <v>72.400000000000006</v>
      </c>
      <c r="AE146" s="748">
        <f t="shared" si="130"/>
        <v>72.400000000000006</v>
      </c>
      <c r="AF146" s="748">
        <f t="shared" si="130"/>
        <v>72.400000000000006</v>
      </c>
      <c r="AG146" s="748">
        <f t="shared" si="130"/>
        <v>72.400000000000006</v>
      </c>
      <c r="AH146" s="748">
        <f t="shared" si="130"/>
        <v>72.400000000000006</v>
      </c>
      <c r="AI146" s="748">
        <f t="shared" si="130"/>
        <v>72.400000000000006</v>
      </c>
      <c r="AJ146" s="748">
        <f t="shared" si="130"/>
        <v>72.400000000000006</v>
      </c>
      <c r="AK146" s="748">
        <f t="shared" si="130"/>
        <v>72.400000000000006</v>
      </c>
      <c r="AL146" s="748">
        <f t="shared" si="130"/>
        <v>72.400000000000006</v>
      </c>
      <c r="AM146" s="748">
        <f t="shared" si="130"/>
        <v>72.400000000000006</v>
      </c>
      <c r="AN146" s="748">
        <f t="shared" si="130"/>
        <v>72.400000000000006</v>
      </c>
      <c r="AO146" s="748">
        <f t="shared" si="130"/>
        <v>72.400000000000006</v>
      </c>
      <c r="AP146" s="748">
        <f t="shared" si="130"/>
        <v>72.400000000000006</v>
      </c>
      <c r="AQ146" s="748">
        <f t="shared" si="130"/>
        <v>72.400000000000006</v>
      </c>
      <c r="AR146" s="748">
        <f t="shared" si="130"/>
        <v>72.400000000000006</v>
      </c>
      <c r="AS146" s="748">
        <f t="shared" si="130"/>
        <v>72.400000000000006</v>
      </c>
      <c r="AT146" s="748">
        <f t="shared" si="130"/>
        <v>72.400000000000006</v>
      </c>
      <c r="AU146" s="748">
        <f t="shared" si="130"/>
        <v>72.400000000000006</v>
      </c>
    </row>
    <row r="147" spans="4:47" s="576" customFormat="1">
      <c r="D147" s="744"/>
      <c r="E147" s="744" t="s">
        <v>427</v>
      </c>
      <c r="F147" s="745" t="s">
        <v>243</v>
      </c>
      <c r="G147" s="748">
        <f>$E196</f>
        <v>101.7</v>
      </c>
      <c r="H147" s="748">
        <f t="shared" si="130"/>
        <v>101.7</v>
      </c>
      <c r="I147" s="748">
        <f t="shared" si="130"/>
        <v>101.7</v>
      </c>
      <c r="J147" s="748">
        <f t="shared" si="130"/>
        <v>101.7</v>
      </c>
      <c r="K147" s="748">
        <f t="shared" si="130"/>
        <v>101.7</v>
      </c>
      <c r="L147" s="748">
        <f t="shared" si="130"/>
        <v>101.7</v>
      </c>
      <c r="M147" s="748">
        <f t="shared" si="130"/>
        <v>101.7</v>
      </c>
      <c r="N147" s="748">
        <f t="shared" si="130"/>
        <v>101.7</v>
      </c>
      <c r="O147" s="748">
        <f t="shared" si="130"/>
        <v>101.7</v>
      </c>
      <c r="P147" s="748">
        <f t="shared" si="130"/>
        <v>101.7</v>
      </c>
      <c r="Q147" s="748">
        <f t="shared" si="130"/>
        <v>101.7</v>
      </c>
      <c r="R147" s="748">
        <f t="shared" si="130"/>
        <v>101.7</v>
      </c>
      <c r="S147" s="748">
        <f t="shared" si="130"/>
        <v>101.7</v>
      </c>
      <c r="T147" s="748">
        <f t="shared" si="130"/>
        <v>101.7</v>
      </c>
      <c r="U147" s="748">
        <f t="shared" si="130"/>
        <v>101.7</v>
      </c>
      <c r="V147" s="748">
        <f t="shared" si="130"/>
        <v>101.7</v>
      </c>
      <c r="W147" s="748">
        <f t="shared" si="130"/>
        <v>101.7</v>
      </c>
      <c r="X147" s="748">
        <f t="shared" si="130"/>
        <v>101.7</v>
      </c>
      <c r="Y147" s="748">
        <f t="shared" si="130"/>
        <v>101.7</v>
      </c>
      <c r="Z147" s="748">
        <f t="shared" si="130"/>
        <v>101.7</v>
      </c>
      <c r="AA147" s="748">
        <f t="shared" si="130"/>
        <v>101.7</v>
      </c>
      <c r="AB147" s="748">
        <f t="shared" si="130"/>
        <v>101.7</v>
      </c>
      <c r="AC147" s="748">
        <f t="shared" si="130"/>
        <v>101.7</v>
      </c>
      <c r="AD147" s="748">
        <f t="shared" si="130"/>
        <v>101.7</v>
      </c>
      <c r="AE147" s="748">
        <f t="shared" si="130"/>
        <v>101.7</v>
      </c>
      <c r="AF147" s="748">
        <f t="shared" si="130"/>
        <v>101.7</v>
      </c>
      <c r="AG147" s="748">
        <f t="shared" si="130"/>
        <v>101.7</v>
      </c>
      <c r="AH147" s="748">
        <f t="shared" si="130"/>
        <v>101.7</v>
      </c>
      <c r="AI147" s="748">
        <f t="shared" si="130"/>
        <v>101.7</v>
      </c>
      <c r="AJ147" s="748">
        <f t="shared" si="130"/>
        <v>101.7</v>
      </c>
      <c r="AK147" s="748">
        <f t="shared" si="130"/>
        <v>101.7</v>
      </c>
      <c r="AL147" s="748">
        <f t="shared" si="130"/>
        <v>101.7</v>
      </c>
      <c r="AM147" s="748">
        <f t="shared" si="130"/>
        <v>101.7</v>
      </c>
      <c r="AN147" s="748">
        <f t="shared" si="130"/>
        <v>101.7</v>
      </c>
      <c r="AO147" s="748">
        <f t="shared" si="130"/>
        <v>101.7</v>
      </c>
      <c r="AP147" s="748">
        <f t="shared" si="130"/>
        <v>101.7</v>
      </c>
      <c r="AQ147" s="748">
        <f t="shared" si="130"/>
        <v>101.7</v>
      </c>
      <c r="AR147" s="748">
        <f t="shared" si="130"/>
        <v>101.7</v>
      </c>
      <c r="AS147" s="748">
        <f t="shared" si="130"/>
        <v>101.7</v>
      </c>
      <c r="AT147" s="748">
        <f t="shared" si="130"/>
        <v>101.7</v>
      </c>
      <c r="AU147" s="748">
        <f t="shared" si="130"/>
        <v>101.7</v>
      </c>
    </row>
    <row r="148" spans="4:47" s="576" customFormat="1">
      <c r="D148" s="744"/>
      <c r="E148" s="744" t="s">
        <v>437</v>
      </c>
      <c r="F148" s="745" t="s">
        <v>243</v>
      </c>
      <c r="G148" s="748">
        <f>$E197</f>
        <v>10.6</v>
      </c>
      <c r="H148" s="748">
        <f t="shared" si="130"/>
        <v>10.6</v>
      </c>
      <c r="I148" s="748">
        <f t="shared" si="130"/>
        <v>10.6</v>
      </c>
      <c r="J148" s="748">
        <f t="shared" si="130"/>
        <v>10.6</v>
      </c>
      <c r="K148" s="748">
        <f t="shared" si="130"/>
        <v>10.6</v>
      </c>
      <c r="L148" s="748">
        <f t="shared" si="130"/>
        <v>10.6</v>
      </c>
      <c r="M148" s="748">
        <f t="shared" si="130"/>
        <v>10.6</v>
      </c>
      <c r="N148" s="748">
        <f t="shared" si="130"/>
        <v>10.6</v>
      </c>
      <c r="O148" s="748">
        <f t="shared" si="130"/>
        <v>10.6</v>
      </c>
      <c r="P148" s="748">
        <f t="shared" si="130"/>
        <v>10.6</v>
      </c>
      <c r="Q148" s="748">
        <f t="shared" si="130"/>
        <v>10.6</v>
      </c>
      <c r="R148" s="748">
        <f t="shared" si="130"/>
        <v>10.6</v>
      </c>
      <c r="S148" s="748">
        <f t="shared" si="130"/>
        <v>10.6</v>
      </c>
      <c r="T148" s="748">
        <f t="shared" si="130"/>
        <v>10.6</v>
      </c>
      <c r="U148" s="748">
        <f t="shared" si="130"/>
        <v>10.6</v>
      </c>
      <c r="V148" s="748">
        <f t="shared" si="130"/>
        <v>10.6</v>
      </c>
      <c r="W148" s="748">
        <f t="shared" si="130"/>
        <v>10.6</v>
      </c>
      <c r="X148" s="748">
        <f t="shared" si="130"/>
        <v>10.6</v>
      </c>
      <c r="Y148" s="748">
        <f t="shared" si="130"/>
        <v>10.6</v>
      </c>
      <c r="Z148" s="748">
        <f t="shared" si="130"/>
        <v>10.6</v>
      </c>
      <c r="AA148" s="748">
        <f t="shared" si="130"/>
        <v>10.6</v>
      </c>
      <c r="AB148" s="748">
        <f t="shared" si="130"/>
        <v>10.6</v>
      </c>
      <c r="AC148" s="748">
        <f t="shared" si="130"/>
        <v>10.6</v>
      </c>
      <c r="AD148" s="748">
        <f t="shared" si="130"/>
        <v>10.6</v>
      </c>
      <c r="AE148" s="748">
        <f t="shared" si="130"/>
        <v>10.6</v>
      </c>
      <c r="AF148" s="748">
        <f t="shared" si="130"/>
        <v>10.6</v>
      </c>
      <c r="AG148" s="748">
        <f t="shared" si="130"/>
        <v>10.6</v>
      </c>
      <c r="AH148" s="748">
        <f t="shared" si="130"/>
        <v>10.6</v>
      </c>
      <c r="AI148" s="748">
        <f t="shared" si="130"/>
        <v>10.6</v>
      </c>
      <c r="AJ148" s="748">
        <f t="shared" si="130"/>
        <v>10.6</v>
      </c>
      <c r="AK148" s="748">
        <f t="shared" si="130"/>
        <v>10.6</v>
      </c>
      <c r="AL148" s="748">
        <f t="shared" si="130"/>
        <v>10.6</v>
      </c>
      <c r="AM148" s="748">
        <f t="shared" si="130"/>
        <v>10.6</v>
      </c>
      <c r="AN148" s="748">
        <f t="shared" si="130"/>
        <v>10.6</v>
      </c>
      <c r="AO148" s="748">
        <f t="shared" si="130"/>
        <v>10.6</v>
      </c>
      <c r="AP148" s="748">
        <f t="shared" si="130"/>
        <v>10.6</v>
      </c>
      <c r="AQ148" s="748">
        <f t="shared" si="130"/>
        <v>10.6</v>
      </c>
      <c r="AR148" s="748">
        <f t="shared" si="130"/>
        <v>10.6</v>
      </c>
      <c r="AS148" s="748">
        <f t="shared" si="130"/>
        <v>10.6</v>
      </c>
      <c r="AT148" s="748">
        <f t="shared" si="130"/>
        <v>10.6</v>
      </c>
      <c r="AU148" s="748">
        <f t="shared" si="130"/>
        <v>10.6</v>
      </c>
    </row>
    <row r="149" spans="4:47" s="576" customFormat="1">
      <c r="D149" s="744"/>
      <c r="E149" s="744" t="s">
        <v>429</v>
      </c>
      <c r="F149" s="745" t="s">
        <v>243</v>
      </c>
      <c r="G149" s="748">
        <f>$E198</f>
        <v>207.6</v>
      </c>
      <c r="H149" s="748">
        <f t="shared" si="130"/>
        <v>207.6</v>
      </c>
      <c r="I149" s="748">
        <f t="shared" si="130"/>
        <v>207.6</v>
      </c>
      <c r="J149" s="748">
        <f t="shared" si="130"/>
        <v>207.6</v>
      </c>
      <c r="K149" s="748">
        <f t="shared" si="130"/>
        <v>207.6</v>
      </c>
      <c r="L149" s="748">
        <f t="shared" si="130"/>
        <v>207.6</v>
      </c>
      <c r="M149" s="748">
        <f t="shared" si="130"/>
        <v>207.6</v>
      </c>
      <c r="N149" s="748">
        <f t="shared" si="130"/>
        <v>207.6</v>
      </c>
      <c r="O149" s="748">
        <f t="shared" si="130"/>
        <v>207.6</v>
      </c>
      <c r="P149" s="748">
        <f t="shared" si="130"/>
        <v>207.6</v>
      </c>
      <c r="Q149" s="748">
        <f t="shared" si="130"/>
        <v>207.6</v>
      </c>
      <c r="R149" s="748">
        <f t="shared" si="130"/>
        <v>207.6</v>
      </c>
      <c r="S149" s="748">
        <f t="shared" si="130"/>
        <v>207.6</v>
      </c>
      <c r="T149" s="748">
        <f t="shared" si="130"/>
        <v>207.6</v>
      </c>
      <c r="U149" s="748">
        <f t="shared" si="130"/>
        <v>207.6</v>
      </c>
      <c r="V149" s="748">
        <f t="shared" si="130"/>
        <v>207.6</v>
      </c>
      <c r="W149" s="748">
        <f t="shared" si="130"/>
        <v>207.6</v>
      </c>
      <c r="X149" s="748">
        <f t="shared" si="130"/>
        <v>207.6</v>
      </c>
      <c r="Y149" s="748">
        <f t="shared" si="130"/>
        <v>207.6</v>
      </c>
      <c r="Z149" s="748">
        <f t="shared" si="130"/>
        <v>207.6</v>
      </c>
      <c r="AA149" s="748">
        <f t="shared" si="130"/>
        <v>207.6</v>
      </c>
      <c r="AB149" s="748">
        <f t="shared" si="130"/>
        <v>207.6</v>
      </c>
      <c r="AC149" s="748">
        <f t="shared" si="130"/>
        <v>207.6</v>
      </c>
      <c r="AD149" s="748">
        <f t="shared" si="130"/>
        <v>207.6</v>
      </c>
      <c r="AE149" s="748">
        <f t="shared" si="130"/>
        <v>207.6</v>
      </c>
      <c r="AF149" s="748">
        <f t="shared" si="130"/>
        <v>207.6</v>
      </c>
      <c r="AG149" s="748">
        <f t="shared" si="130"/>
        <v>207.6</v>
      </c>
      <c r="AH149" s="748">
        <f t="shared" si="130"/>
        <v>207.6</v>
      </c>
      <c r="AI149" s="748">
        <f t="shared" si="130"/>
        <v>207.6</v>
      </c>
      <c r="AJ149" s="748">
        <f t="shared" si="130"/>
        <v>207.6</v>
      </c>
      <c r="AK149" s="748">
        <f t="shared" si="130"/>
        <v>207.6</v>
      </c>
      <c r="AL149" s="748">
        <f t="shared" si="130"/>
        <v>207.6</v>
      </c>
      <c r="AM149" s="748">
        <f t="shared" si="130"/>
        <v>207.6</v>
      </c>
      <c r="AN149" s="748">
        <f t="shared" si="130"/>
        <v>207.6</v>
      </c>
      <c r="AO149" s="748">
        <f t="shared" si="130"/>
        <v>207.6</v>
      </c>
      <c r="AP149" s="748">
        <f t="shared" si="130"/>
        <v>207.6</v>
      </c>
      <c r="AQ149" s="748">
        <f t="shared" si="130"/>
        <v>207.6</v>
      </c>
      <c r="AR149" s="748">
        <f t="shared" si="130"/>
        <v>207.6</v>
      </c>
      <c r="AS149" s="748">
        <f t="shared" si="130"/>
        <v>207.6</v>
      </c>
      <c r="AT149" s="748">
        <f t="shared" si="130"/>
        <v>207.6</v>
      </c>
      <c r="AU149" s="748">
        <f t="shared" si="130"/>
        <v>207.6</v>
      </c>
    </row>
    <row r="150" spans="4:47" s="576" customFormat="1">
      <c r="D150" s="744"/>
      <c r="E150" s="744" t="s">
        <v>430</v>
      </c>
      <c r="F150" s="745" t="s">
        <v>243</v>
      </c>
      <c r="G150" s="748">
        <f>$E199</f>
        <v>207.6</v>
      </c>
      <c r="H150" s="748">
        <f t="shared" si="130"/>
        <v>207.6</v>
      </c>
      <c r="I150" s="748">
        <f t="shared" si="130"/>
        <v>207.6</v>
      </c>
      <c r="J150" s="748">
        <f t="shared" si="130"/>
        <v>207.6</v>
      </c>
      <c r="K150" s="748">
        <f t="shared" si="130"/>
        <v>207.6</v>
      </c>
      <c r="L150" s="748">
        <f t="shared" si="130"/>
        <v>207.6</v>
      </c>
      <c r="M150" s="748">
        <f t="shared" si="130"/>
        <v>207.6</v>
      </c>
      <c r="N150" s="748">
        <f t="shared" si="130"/>
        <v>207.6</v>
      </c>
      <c r="O150" s="748">
        <f t="shared" si="130"/>
        <v>207.6</v>
      </c>
      <c r="P150" s="748">
        <f t="shared" si="130"/>
        <v>207.6</v>
      </c>
      <c r="Q150" s="748">
        <f t="shared" si="130"/>
        <v>207.6</v>
      </c>
      <c r="R150" s="748">
        <f t="shared" si="130"/>
        <v>207.6</v>
      </c>
      <c r="S150" s="748">
        <f t="shared" si="130"/>
        <v>207.6</v>
      </c>
      <c r="T150" s="748">
        <f t="shared" si="130"/>
        <v>207.6</v>
      </c>
      <c r="U150" s="748">
        <f t="shared" si="130"/>
        <v>207.6</v>
      </c>
      <c r="V150" s="748">
        <f t="shared" si="130"/>
        <v>207.6</v>
      </c>
      <c r="W150" s="748">
        <f t="shared" si="130"/>
        <v>207.6</v>
      </c>
      <c r="X150" s="748">
        <f t="shared" si="130"/>
        <v>207.6</v>
      </c>
      <c r="Y150" s="748">
        <f t="shared" si="130"/>
        <v>207.6</v>
      </c>
      <c r="Z150" s="748">
        <f t="shared" si="130"/>
        <v>207.6</v>
      </c>
      <c r="AA150" s="748">
        <f t="shared" si="130"/>
        <v>207.6</v>
      </c>
      <c r="AB150" s="748">
        <f t="shared" si="130"/>
        <v>207.6</v>
      </c>
      <c r="AC150" s="748">
        <f t="shared" si="130"/>
        <v>207.6</v>
      </c>
      <c r="AD150" s="748">
        <f t="shared" si="130"/>
        <v>207.6</v>
      </c>
      <c r="AE150" s="748">
        <f t="shared" si="130"/>
        <v>207.6</v>
      </c>
      <c r="AF150" s="748">
        <f t="shared" si="130"/>
        <v>207.6</v>
      </c>
      <c r="AG150" s="748">
        <f t="shared" si="130"/>
        <v>207.6</v>
      </c>
      <c r="AH150" s="748">
        <f t="shared" si="130"/>
        <v>207.6</v>
      </c>
      <c r="AI150" s="748">
        <f t="shared" si="130"/>
        <v>207.6</v>
      </c>
      <c r="AJ150" s="748">
        <f t="shared" si="130"/>
        <v>207.6</v>
      </c>
      <c r="AK150" s="748">
        <f t="shared" si="130"/>
        <v>207.6</v>
      </c>
      <c r="AL150" s="748">
        <f t="shared" si="130"/>
        <v>207.6</v>
      </c>
      <c r="AM150" s="748">
        <f t="shared" si="130"/>
        <v>207.6</v>
      </c>
      <c r="AN150" s="748">
        <f t="shared" si="130"/>
        <v>207.6</v>
      </c>
      <c r="AO150" s="748">
        <f t="shared" si="130"/>
        <v>207.6</v>
      </c>
      <c r="AP150" s="748">
        <f t="shared" si="130"/>
        <v>207.6</v>
      </c>
      <c r="AQ150" s="748">
        <f t="shared" si="130"/>
        <v>207.6</v>
      </c>
      <c r="AR150" s="748">
        <f t="shared" si="130"/>
        <v>207.6</v>
      </c>
      <c r="AS150" s="748">
        <f t="shared" si="130"/>
        <v>207.6</v>
      </c>
      <c r="AT150" s="748">
        <f t="shared" si="130"/>
        <v>207.6</v>
      </c>
      <c r="AU150" s="748">
        <f t="shared" si="130"/>
        <v>207.6</v>
      </c>
    </row>
    <row r="151" spans="4:47" s="576" customFormat="1">
      <c r="D151" s="744"/>
      <c r="E151" s="744" t="s">
        <v>908</v>
      </c>
      <c r="F151" s="745" t="s">
        <v>243</v>
      </c>
      <c r="G151" s="748">
        <f>G150*2</f>
        <v>415.2</v>
      </c>
      <c r="H151" s="748">
        <f t="shared" ref="H151:AU151" si="131">H150*2</f>
        <v>415.2</v>
      </c>
      <c r="I151" s="748">
        <f t="shared" si="131"/>
        <v>415.2</v>
      </c>
      <c r="J151" s="748">
        <f t="shared" si="131"/>
        <v>415.2</v>
      </c>
      <c r="K151" s="748">
        <f t="shared" si="131"/>
        <v>415.2</v>
      </c>
      <c r="L151" s="748">
        <f t="shared" si="131"/>
        <v>415.2</v>
      </c>
      <c r="M151" s="748">
        <f t="shared" si="131"/>
        <v>415.2</v>
      </c>
      <c r="N151" s="748">
        <f t="shared" si="131"/>
        <v>415.2</v>
      </c>
      <c r="O151" s="748">
        <f t="shared" si="131"/>
        <v>415.2</v>
      </c>
      <c r="P151" s="748">
        <f t="shared" si="131"/>
        <v>415.2</v>
      </c>
      <c r="Q151" s="748">
        <f t="shared" si="131"/>
        <v>415.2</v>
      </c>
      <c r="R151" s="748">
        <f t="shared" si="131"/>
        <v>415.2</v>
      </c>
      <c r="S151" s="748">
        <f t="shared" si="131"/>
        <v>415.2</v>
      </c>
      <c r="T151" s="748">
        <f t="shared" si="131"/>
        <v>415.2</v>
      </c>
      <c r="U151" s="748">
        <f t="shared" si="131"/>
        <v>415.2</v>
      </c>
      <c r="V151" s="748">
        <f t="shared" si="131"/>
        <v>415.2</v>
      </c>
      <c r="W151" s="748">
        <f t="shared" si="131"/>
        <v>415.2</v>
      </c>
      <c r="X151" s="748">
        <f t="shared" si="131"/>
        <v>415.2</v>
      </c>
      <c r="Y151" s="748">
        <f t="shared" si="131"/>
        <v>415.2</v>
      </c>
      <c r="Z151" s="748">
        <f t="shared" si="131"/>
        <v>415.2</v>
      </c>
      <c r="AA151" s="748">
        <f t="shared" si="131"/>
        <v>415.2</v>
      </c>
      <c r="AB151" s="748">
        <f t="shared" si="131"/>
        <v>415.2</v>
      </c>
      <c r="AC151" s="748">
        <f t="shared" si="131"/>
        <v>415.2</v>
      </c>
      <c r="AD151" s="748">
        <f t="shared" si="131"/>
        <v>415.2</v>
      </c>
      <c r="AE151" s="748">
        <f t="shared" si="131"/>
        <v>415.2</v>
      </c>
      <c r="AF151" s="748">
        <f t="shared" si="131"/>
        <v>415.2</v>
      </c>
      <c r="AG151" s="748">
        <f t="shared" si="131"/>
        <v>415.2</v>
      </c>
      <c r="AH151" s="748">
        <f t="shared" si="131"/>
        <v>415.2</v>
      </c>
      <c r="AI151" s="748">
        <f t="shared" si="131"/>
        <v>415.2</v>
      </c>
      <c r="AJ151" s="748">
        <f t="shared" si="131"/>
        <v>415.2</v>
      </c>
      <c r="AK151" s="748">
        <f t="shared" si="131"/>
        <v>415.2</v>
      </c>
      <c r="AL151" s="748">
        <f t="shared" si="131"/>
        <v>415.2</v>
      </c>
      <c r="AM151" s="748">
        <f t="shared" si="131"/>
        <v>415.2</v>
      </c>
      <c r="AN151" s="748">
        <f t="shared" si="131"/>
        <v>415.2</v>
      </c>
      <c r="AO151" s="748">
        <f t="shared" si="131"/>
        <v>415.2</v>
      </c>
      <c r="AP151" s="748">
        <f t="shared" si="131"/>
        <v>415.2</v>
      </c>
      <c r="AQ151" s="748">
        <f t="shared" si="131"/>
        <v>415.2</v>
      </c>
      <c r="AR151" s="748">
        <f t="shared" si="131"/>
        <v>415.2</v>
      </c>
      <c r="AS151" s="748">
        <f t="shared" si="131"/>
        <v>415.2</v>
      </c>
      <c r="AT151" s="748">
        <f t="shared" si="131"/>
        <v>415.2</v>
      </c>
      <c r="AU151" s="748">
        <f t="shared" si="131"/>
        <v>415.2</v>
      </c>
    </row>
    <row r="152" spans="4:47" s="576" customFormat="1">
      <c r="D152" s="744"/>
      <c r="E152" s="744" t="s">
        <v>435</v>
      </c>
      <c r="F152" s="745" t="s">
        <v>243</v>
      </c>
      <c r="G152" s="748">
        <f>$E200</f>
        <v>10</v>
      </c>
      <c r="H152" s="748">
        <f t="shared" ref="H152:AU155" si="132">$E200</f>
        <v>10</v>
      </c>
      <c r="I152" s="748">
        <f t="shared" si="132"/>
        <v>10</v>
      </c>
      <c r="J152" s="748">
        <f t="shared" si="132"/>
        <v>10</v>
      </c>
      <c r="K152" s="748">
        <f t="shared" si="132"/>
        <v>10</v>
      </c>
      <c r="L152" s="748">
        <f t="shared" si="132"/>
        <v>10</v>
      </c>
      <c r="M152" s="748">
        <f t="shared" si="132"/>
        <v>10</v>
      </c>
      <c r="N152" s="748">
        <f t="shared" si="132"/>
        <v>10</v>
      </c>
      <c r="O152" s="748">
        <f t="shared" si="132"/>
        <v>10</v>
      </c>
      <c r="P152" s="748">
        <f t="shared" si="132"/>
        <v>10</v>
      </c>
      <c r="Q152" s="748">
        <f t="shared" si="132"/>
        <v>10</v>
      </c>
      <c r="R152" s="748">
        <f t="shared" si="132"/>
        <v>10</v>
      </c>
      <c r="S152" s="748">
        <f t="shared" si="132"/>
        <v>10</v>
      </c>
      <c r="T152" s="748">
        <f t="shared" si="132"/>
        <v>10</v>
      </c>
      <c r="U152" s="748">
        <f t="shared" si="132"/>
        <v>10</v>
      </c>
      <c r="V152" s="748">
        <f t="shared" si="132"/>
        <v>10</v>
      </c>
      <c r="W152" s="748">
        <f t="shared" si="132"/>
        <v>10</v>
      </c>
      <c r="X152" s="748">
        <f t="shared" si="132"/>
        <v>10</v>
      </c>
      <c r="Y152" s="748">
        <f t="shared" si="132"/>
        <v>10</v>
      </c>
      <c r="Z152" s="748">
        <f t="shared" si="132"/>
        <v>10</v>
      </c>
      <c r="AA152" s="748">
        <f t="shared" si="132"/>
        <v>10</v>
      </c>
      <c r="AB152" s="748">
        <f t="shared" si="132"/>
        <v>10</v>
      </c>
      <c r="AC152" s="748">
        <f t="shared" si="132"/>
        <v>10</v>
      </c>
      <c r="AD152" s="748">
        <f t="shared" si="132"/>
        <v>10</v>
      </c>
      <c r="AE152" s="748">
        <f t="shared" si="132"/>
        <v>10</v>
      </c>
      <c r="AF152" s="748">
        <f t="shared" si="132"/>
        <v>10</v>
      </c>
      <c r="AG152" s="748">
        <f t="shared" si="132"/>
        <v>10</v>
      </c>
      <c r="AH152" s="748">
        <f t="shared" si="132"/>
        <v>10</v>
      </c>
      <c r="AI152" s="748">
        <f t="shared" si="132"/>
        <v>10</v>
      </c>
      <c r="AJ152" s="748">
        <f t="shared" si="132"/>
        <v>10</v>
      </c>
      <c r="AK152" s="748">
        <f t="shared" si="132"/>
        <v>10</v>
      </c>
      <c r="AL152" s="748">
        <f t="shared" si="132"/>
        <v>10</v>
      </c>
      <c r="AM152" s="748">
        <f t="shared" si="132"/>
        <v>10</v>
      </c>
      <c r="AN152" s="748">
        <f t="shared" si="132"/>
        <v>10</v>
      </c>
      <c r="AO152" s="748">
        <f t="shared" si="132"/>
        <v>10</v>
      </c>
      <c r="AP152" s="748">
        <f t="shared" si="132"/>
        <v>10</v>
      </c>
      <c r="AQ152" s="748">
        <f t="shared" si="132"/>
        <v>10</v>
      </c>
      <c r="AR152" s="748">
        <f t="shared" si="132"/>
        <v>10</v>
      </c>
      <c r="AS152" s="748">
        <f t="shared" si="132"/>
        <v>10</v>
      </c>
      <c r="AT152" s="748">
        <f t="shared" si="132"/>
        <v>10</v>
      </c>
      <c r="AU152" s="748">
        <f t="shared" si="132"/>
        <v>10</v>
      </c>
    </row>
    <row r="153" spans="4:47" s="576" customFormat="1">
      <c r="D153" s="744"/>
      <c r="E153" s="744" t="s">
        <v>441</v>
      </c>
      <c r="F153" s="745" t="s">
        <v>243</v>
      </c>
      <c r="G153" s="748">
        <f>$E201</f>
        <v>10</v>
      </c>
      <c r="H153" s="748">
        <f t="shared" si="132"/>
        <v>10</v>
      </c>
      <c r="I153" s="748">
        <f t="shared" si="132"/>
        <v>10</v>
      </c>
      <c r="J153" s="748">
        <f t="shared" si="132"/>
        <v>10</v>
      </c>
      <c r="K153" s="748">
        <f t="shared" si="132"/>
        <v>10</v>
      </c>
      <c r="L153" s="748">
        <f t="shared" si="132"/>
        <v>10</v>
      </c>
      <c r="M153" s="748">
        <f t="shared" si="132"/>
        <v>10</v>
      </c>
      <c r="N153" s="748">
        <f t="shared" si="132"/>
        <v>10</v>
      </c>
      <c r="O153" s="748">
        <f t="shared" si="132"/>
        <v>10</v>
      </c>
      <c r="P153" s="748">
        <f t="shared" si="132"/>
        <v>10</v>
      </c>
      <c r="Q153" s="748">
        <f t="shared" si="132"/>
        <v>10</v>
      </c>
      <c r="R153" s="748">
        <f t="shared" si="132"/>
        <v>10</v>
      </c>
      <c r="S153" s="748">
        <f t="shared" si="132"/>
        <v>10</v>
      </c>
      <c r="T153" s="748">
        <f t="shared" si="132"/>
        <v>10</v>
      </c>
      <c r="U153" s="748">
        <f t="shared" si="132"/>
        <v>10</v>
      </c>
      <c r="V153" s="748">
        <f t="shared" si="132"/>
        <v>10</v>
      </c>
      <c r="W153" s="748">
        <f t="shared" si="132"/>
        <v>10</v>
      </c>
      <c r="X153" s="748">
        <f t="shared" si="132"/>
        <v>10</v>
      </c>
      <c r="Y153" s="748">
        <f t="shared" si="132"/>
        <v>10</v>
      </c>
      <c r="Z153" s="748">
        <f t="shared" si="132"/>
        <v>10</v>
      </c>
      <c r="AA153" s="748">
        <f t="shared" si="132"/>
        <v>10</v>
      </c>
      <c r="AB153" s="748">
        <f t="shared" si="132"/>
        <v>10</v>
      </c>
      <c r="AC153" s="748">
        <f t="shared" si="132"/>
        <v>10</v>
      </c>
      <c r="AD153" s="748">
        <f t="shared" si="132"/>
        <v>10</v>
      </c>
      <c r="AE153" s="748">
        <f t="shared" si="132"/>
        <v>10</v>
      </c>
      <c r="AF153" s="748">
        <f t="shared" si="132"/>
        <v>10</v>
      </c>
      <c r="AG153" s="748">
        <f t="shared" si="132"/>
        <v>10</v>
      </c>
      <c r="AH153" s="748">
        <f t="shared" si="132"/>
        <v>10</v>
      </c>
      <c r="AI153" s="748">
        <f t="shared" si="132"/>
        <v>10</v>
      </c>
      <c r="AJ153" s="748">
        <f t="shared" si="132"/>
        <v>10</v>
      </c>
      <c r="AK153" s="748">
        <f t="shared" si="132"/>
        <v>10</v>
      </c>
      <c r="AL153" s="748">
        <f t="shared" si="132"/>
        <v>10</v>
      </c>
      <c r="AM153" s="748">
        <f t="shared" si="132"/>
        <v>10</v>
      </c>
      <c r="AN153" s="748">
        <f t="shared" si="132"/>
        <v>10</v>
      </c>
      <c r="AO153" s="748">
        <f t="shared" si="132"/>
        <v>10</v>
      </c>
      <c r="AP153" s="748">
        <f t="shared" si="132"/>
        <v>10</v>
      </c>
      <c r="AQ153" s="748">
        <f t="shared" si="132"/>
        <v>10</v>
      </c>
      <c r="AR153" s="748">
        <f t="shared" si="132"/>
        <v>10</v>
      </c>
      <c r="AS153" s="748">
        <f t="shared" si="132"/>
        <v>10</v>
      </c>
      <c r="AT153" s="748">
        <f t="shared" si="132"/>
        <v>10</v>
      </c>
      <c r="AU153" s="748">
        <f t="shared" si="132"/>
        <v>10</v>
      </c>
    </row>
    <row r="154" spans="4:47" s="576" customFormat="1">
      <c r="D154" s="744"/>
      <c r="E154" s="744" t="s">
        <v>443</v>
      </c>
      <c r="F154" s="745" t="s">
        <v>243</v>
      </c>
      <c r="G154" s="748">
        <f>$E202</f>
        <v>10</v>
      </c>
      <c r="H154" s="748">
        <f t="shared" si="132"/>
        <v>10</v>
      </c>
      <c r="I154" s="748">
        <f t="shared" si="132"/>
        <v>10</v>
      </c>
      <c r="J154" s="748">
        <f t="shared" si="132"/>
        <v>10</v>
      </c>
      <c r="K154" s="748">
        <f t="shared" si="132"/>
        <v>10</v>
      </c>
      <c r="L154" s="748">
        <f t="shared" si="132"/>
        <v>10</v>
      </c>
      <c r="M154" s="748">
        <f t="shared" si="132"/>
        <v>10</v>
      </c>
      <c r="N154" s="748">
        <f t="shared" si="132"/>
        <v>10</v>
      </c>
      <c r="O154" s="748">
        <f t="shared" si="132"/>
        <v>10</v>
      </c>
      <c r="P154" s="748">
        <f t="shared" si="132"/>
        <v>10</v>
      </c>
      <c r="Q154" s="748">
        <f t="shared" si="132"/>
        <v>10</v>
      </c>
      <c r="R154" s="748">
        <f t="shared" si="132"/>
        <v>10</v>
      </c>
      <c r="S154" s="748">
        <f t="shared" si="132"/>
        <v>10</v>
      </c>
      <c r="T154" s="748">
        <f t="shared" si="132"/>
        <v>10</v>
      </c>
      <c r="U154" s="748">
        <f t="shared" si="132"/>
        <v>10</v>
      </c>
      <c r="V154" s="748">
        <f t="shared" si="132"/>
        <v>10</v>
      </c>
      <c r="W154" s="748">
        <f t="shared" si="132"/>
        <v>10</v>
      </c>
      <c r="X154" s="748">
        <f t="shared" si="132"/>
        <v>10</v>
      </c>
      <c r="Y154" s="748">
        <f t="shared" si="132"/>
        <v>10</v>
      </c>
      <c r="Z154" s="748">
        <f t="shared" si="132"/>
        <v>10</v>
      </c>
      <c r="AA154" s="748">
        <f t="shared" si="132"/>
        <v>10</v>
      </c>
      <c r="AB154" s="748">
        <f t="shared" si="132"/>
        <v>10</v>
      </c>
      <c r="AC154" s="748">
        <f t="shared" si="132"/>
        <v>10</v>
      </c>
      <c r="AD154" s="748">
        <f t="shared" si="132"/>
        <v>10</v>
      </c>
      <c r="AE154" s="748">
        <f t="shared" si="132"/>
        <v>10</v>
      </c>
      <c r="AF154" s="748">
        <f t="shared" si="132"/>
        <v>10</v>
      </c>
      <c r="AG154" s="748">
        <f t="shared" si="132"/>
        <v>10</v>
      </c>
      <c r="AH154" s="748">
        <f t="shared" si="132"/>
        <v>10</v>
      </c>
      <c r="AI154" s="748">
        <f t="shared" si="132"/>
        <v>10</v>
      </c>
      <c r="AJ154" s="748">
        <f t="shared" si="132"/>
        <v>10</v>
      </c>
      <c r="AK154" s="748">
        <f t="shared" si="132"/>
        <v>10</v>
      </c>
      <c r="AL154" s="748">
        <f t="shared" si="132"/>
        <v>10</v>
      </c>
      <c r="AM154" s="748">
        <f t="shared" si="132"/>
        <v>10</v>
      </c>
      <c r="AN154" s="748">
        <f t="shared" si="132"/>
        <v>10</v>
      </c>
      <c r="AO154" s="748">
        <f t="shared" si="132"/>
        <v>10</v>
      </c>
      <c r="AP154" s="748">
        <f t="shared" si="132"/>
        <v>10</v>
      </c>
      <c r="AQ154" s="748">
        <f t="shared" si="132"/>
        <v>10</v>
      </c>
      <c r="AR154" s="748">
        <f t="shared" si="132"/>
        <v>10</v>
      </c>
      <c r="AS154" s="748">
        <f t="shared" si="132"/>
        <v>10</v>
      </c>
      <c r="AT154" s="748">
        <f t="shared" si="132"/>
        <v>10</v>
      </c>
      <c r="AU154" s="748">
        <f t="shared" si="132"/>
        <v>10</v>
      </c>
    </row>
    <row r="155" spans="4:47" s="576" customFormat="1">
      <c r="D155" s="744"/>
      <c r="E155" s="744" t="s">
        <v>439</v>
      </c>
      <c r="F155" s="745" t="s">
        <v>243</v>
      </c>
      <c r="G155" s="748">
        <f>$E203</f>
        <v>10</v>
      </c>
      <c r="H155" s="748">
        <f t="shared" si="132"/>
        <v>10</v>
      </c>
      <c r="I155" s="748">
        <f t="shared" si="132"/>
        <v>10</v>
      </c>
      <c r="J155" s="748">
        <f t="shared" si="132"/>
        <v>10</v>
      </c>
      <c r="K155" s="748">
        <f t="shared" si="132"/>
        <v>10</v>
      </c>
      <c r="L155" s="748">
        <f t="shared" si="132"/>
        <v>10</v>
      </c>
      <c r="M155" s="748">
        <f t="shared" si="132"/>
        <v>10</v>
      </c>
      <c r="N155" s="748">
        <f t="shared" si="132"/>
        <v>10</v>
      </c>
      <c r="O155" s="748">
        <f t="shared" si="132"/>
        <v>10</v>
      </c>
      <c r="P155" s="748">
        <f t="shared" si="132"/>
        <v>10</v>
      </c>
      <c r="Q155" s="748">
        <f t="shared" si="132"/>
        <v>10</v>
      </c>
      <c r="R155" s="748">
        <f t="shared" si="132"/>
        <v>10</v>
      </c>
      <c r="S155" s="748">
        <f t="shared" si="132"/>
        <v>10</v>
      </c>
      <c r="T155" s="748">
        <f t="shared" si="132"/>
        <v>10</v>
      </c>
      <c r="U155" s="748">
        <f t="shared" si="132"/>
        <v>10</v>
      </c>
      <c r="V155" s="748">
        <f t="shared" si="132"/>
        <v>10</v>
      </c>
      <c r="W155" s="748">
        <f t="shared" si="132"/>
        <v>10</v>
      </c>
      <c r="X155" s="748">
        <f t="shared" si="132"/>
        <v>10</v>
      </c>
      <c r="Y155" s="748">
        <f t="shared" si="132"/>
        <v>10</v>
      </c>
      <c r="Z155" s="748">
        <f t="shared" si="132"/>
        <v>10</v>
      </c>
      <c r="AA155" s="748">
        <f t="shared" si="132"/>
        <v>10</v>
      </c>
      <c r="AB155" s="748">
        <f t="shared" si="132"/>
        <v>10</v>
      </c>
      <c r="AC155" s="748">
        <f t="shared" si="132"/>
        <v>10</v>
      </c>
      <c r="AD155" s="748">
        <f t="shared" si="132"/>
        <v>10</v>
      </c>
      <c r="AE155" s="748">
        <f t="shared" si="132"/>
        <v>10</v>
      </c>
      <c r="AF155" s="748">
        <f t="shared" si="132"/>
        <v>10</v>
      </c>
      <c r="AG155" s="748">
        <f t="shared" si="132"/>
        <v>10</v>
      </c>
      <c r="AH155" s="748">
        <f t="shared" si="132"/>
        <v>10</v>
      </c>
      <c r="AI155" s="748">
        <f t="shared" si="132"/>
        <v>10</v>
      </c>
      <c r="AJ155" s="748">
        <f t="shared" si="132"/>
        <v>10</v>
      </c>
      <c r="AK155" s="748">
        <f t="shared" si="132"/>
        <v>10</v>
      </c>
      <c r="AL155" s="748">
        <f t="shared" si="132"/>
        <v>10</v>
      </c>
      <c r="AM155" s="748">
        <f t="shared" si="132"/>
        <v>10</v>
      </c>
      <c r="AN155" s="748">
        <f t="shared" si="132"/>
        <v>10</v>
      </c>
      <c r="AO155" s="748">
        <f t="shared" si="132"/>
        <v>10</v>
      </c>
      <c r="AP155" s="748">
        <f t="shared" si="132"/>
        <v>10</v>
      </c>
      <c r="AQ155" s="748">
        <f t="shared" si="132"/>
        <v>10</v>
      </c>
      <c r="AR155" s="748">
        <f t="shared" si="132"/>
        <v>10</v>
      </c>
      <c r="AS155" s="748">
        <f t="shared" si="132"/>
        <v>10</v>
      </c>
      <c r="AT155" s="748">
        <f t="shared" si="132"/>
        <v>10</v>
      </c>
      <c r="AU155" s="748">
        <f t="shared" si="132"/>
        <v>10</v>
      </c>
    </row>
    <row r="156" spans="4:47" s="576" customFormat="1">
      <c r="D156" s="744"/>
      <c r="E156" s="744" t="s">
        <v>42</v>
      </c>
      <c r="F156" s="745" t="s">
        <v>243</v>
      </c>
      <c r="G156" s="748">
        <f>$E$179</f>
        <v>1.5</v>
      </c>
      <c r="H156" s="748">
        <f t="shared" ref="H156:AU156" si="133">$E$179</f>
        <v>1.5</v>
      </c>
      <c r="I156" s="748">
        <f t="shared" si="133"/>
        <v>1.5</v>
      </c>
      <c r="J156" s="748">
        <f t="shared" si="133"/>
        <v>1.5</v>
      </c>
      <c r="K156" s="748">
        <f t="shared" si="133"/>
        <v>1.5</v>
      </c>
      <c r="L156" s="748">
        <f t="shared" si="133"/>
        <v>1.5</v>
      </c>
      <c r="M156" s="748">
        <f t="shared" si="133"/>
        <v>1.5</v>
      </c>
      <c r="N156" s="748">
        <f t="shared" si="133"/>
        <v>1.5</v>
      </c>
      <c r="O156" s="748">
        <f t="shared" si="133"/>
        <v>1.5</v>
      </c>
      <c r="P156" s="748">
        <f t="shared" si="133"/>
        <v>1.5</v>
      </c>
      <c r="Q156" s="748">
        <f t="shared" si="133"/>
        <v>1.5</v>
      </c>
      <c r="R156" s="748">
        <f t="shared" si="133"/>
        <v>1.5</v>
      </c>
      <c r="S156" s="748">
        <f t="shared" si="133"/>
        <v>1.5</v>
      </c>
      <c r="T156" s="748">
        <f t="shared" si="133"/>
        <v>1.5</v>
      </c>
      <c r="U156" s="748">
        <f t="shared" si="133"/>
        <v>1.5</v>
      </c>
      <c r="V156" s="748">
        <f t="shared" si="133"/>
        <v>1.5</v>
      </c>
      <c r="W156" s="748">
        <f t="shared" si="133"/>
        <v>1.5</v>
      </c>
      <c r="X156" s="748">
        <f t="shared" si="133"/>
        <v>1.5</v>
      </c>
      <c r="Y156" s="748">
        <f t="shared" si="133"/>
        <v>1.5</v>
      </c>
      <c r="Z156" s="748">
        <f t="shared" si="133"/>
        <v>1.5</v>
      </c>
      <c r="AA156" s="748">
        <f t="shared" si="133"/>
        <v>1.5</v>
      </c>
      <c r="AB156" s="748">
        <f t="shared" si="133"/>
        <v>1.5</v>
      </c>
      <c r="AC156" s="748">
        <f t="shared" si="133"/>
        <v>1.5</v>
      </c>
      <c r="AD156" s="748">
        <f t="shared" si="133"/>
        <v>1.5</v>
      </c>
      <c r="AE156" s="748">
        <f t="shared" si="133"/>
        <v>1.5</v>
      </c>
      <c r="AF156" s="748">
        <f t="shared" si="133"/>
        <v>1.5</v>
      </c>
      <c r="AG156" s="748">
        <f t="shared" si="133"/>
        <v>1.5</v>
      </c>
      <c r="AH156" s="748">
        <f t="shared" si="133"/>
        <v>1.5</v>
      </c>
      <c r="AI156" s="748">
        <f t="shared" si="133"/>
        <v>1.5</v>
      </c>
      <c r="AJ156" s="748">
        <f t="shared" si="133"/>
        <v>1.5</v>
      </c>
      <c r="AK156" s="748">
        <f t="shared" si="133"/>
        <v>1.5</v>
      </c>
      <c r="AL156" s="748">
        <f t="shared" si="133"/>
        <v>1.5</v>
      </c>
      <c r="AM156" s="748">
        <f t="shared" si="133"/>
        <v>1.5</v>
      </c>
      <c r="AN156" s="748">
        <f t="shared" si="133"/>
        <v>1.5</v>
      </c>
      <c r="AO156" s="748">
        <f t="shared" si="133"/>
        <v>1.5</v>
      </c>
      <c r="AP156" s="748">
        <f t="shared" si="133"/>
        <v>1.5</v>
      </c>
      <c r="AQ156" s="748">
        <f t="shared" si="133"/>
        <v>1.5</v>
      </c>
      <c r="AR156" s="748">
        <f t="shared" si="133"/>
        <v>1.5</v>
      </c>
      <c r="AS156" s="748">
        <f t="shared" si="133"/>
        <v>1.5</v>
      </c>
      <c r="AT156" s="748">
        <f t="shared" si="133"/>
        <v>1.5</v>
      </c>
      <c r="AU156" s="748">
        <f t="shared" si="133"/>
        <v>1.5</v>
      </c>
    </row>
    <row r="157" spans="4:47" s="576" customFormat="1">
      <c r="D157" s="744" t="s">
        <v>1117</v>
      </c>
      <c r="E157" s="744" t="s">
        <v>79</v>
      </c>
      <c r="F157" s="745" t="s">
        <v>243</v>
      </c>
      <c r="G157" s="751">
        <f>G134*2</f>
        <v>88.8</v>
      </c>
      <c r="H157" s="751">
        <f t="shared" ref="H157:AS157" si="134">H134*2</f>
        <v>92.2</v>
      </c>
      <c r="I157" s="751">
        <f t="shared" si="134"/>
        <v>110.2</v>
      </c>
      <c r="J157" s="751">
        <f t="shared" si="134"/>
        <v>108.4</v>
      </c>
      <c r="K157" s="751">
        <f t="shared" si="134"/>
        <v>91.4</v>
      </c>
      <c r="L157" s="751">
        <f t="shared" si="134"/>
        <v>88</v>
      </c>
      <c r="M157" s="751">
        <f t="shared" si="134"/>
        <v>73.599999999999994</v>
      </c>
      <c r="N157" s="751">
        <f t="shared" si="134"/>
        <v>73.8</v>
      </c>
      <c r="O157" s="751">
        <f t="shared" si="134"/>
        <v>106.84436676370051</v>
      </c>
      <c r="P157" s="751">
        <f t="shared" si="134"/>
        <v>68.522022481240924</v>
      </c>
      <c r="Q157" s="751">
        <f t="shared" si="134"/>
        <v>66.795699972964513</v>
      </c>
      <c r="R157" s="751">
        <f t="shared" si="134"/>
        <v>63.050580050876398</v>
      </c>
      <c r="S157" s="751">
        <f t="shared" si="134"/>
        <v>65.525097243083792</v>
      </c>
      <c r="T157" s="751">
        <f t="shared" si="134"/>
        <v>66.735376625750931</v>
      </c>
      <c r="U157" s="751">
        <f t="shared" si="134"/>
        <v>67.134247840724143</v>
      </c>
      <c r="V157" s="751">
        <f t="shared" si="134"/>
        <v>67.01216692582733</v>
      </c>
      <c r="W157" s="751">
        <f t="shared" si="134"/>
        <v>66.935278408608127</v>
      </c>
      <c r="X157" s="751">
        <f t="shared" si="134"/>
        <v>66.885894172463338</v>
      </c>
      <c r="Y157" s="751">
        <f t="shared" si="134"/>
        <v>66.843599180906921</v>
      </c>
      <c r="Z157" s="751">
        <f t="shared" si="134"/>
        <v>66.828440496044607</v>
      </c>
      <c r="AA157" s="751">
        <f t="shared" si="134"/>
        <v>66.824305220819767</v>
      </c>
      <c r="AB157" s="751">
        <f t="shared" si="134"/>
        <v>66.916476676296767</v>
      </c>
      <c r="AC157" s="751">
        <f t="shared" si="134"/>
        <v>67.008648131773768</v>
      </c>
      <c r="AD157" s="751">
        <f t="shared" si="134"/>
        <v>67.100819587250754</v>
      </c>
      <c r="AE157" s="751">
        <f t="shared" si="134"/>
        <v>67.192991042727741</v>
      </c>
      <c r="AF157" s="751">
        <f t="shared" si="134"/>
        <v>67.285162498204755</v>
      </c>
      <c r="AG157" s="751">
        <f t="shared" si="134"/>
        <v>67.377333953681756</v>
      </c>
      <c r="AH157" s="751">
        <f t="shared" si="134"/>
        <v>67.469505409158728</v>
      </c>
      <c r="AI157" s="751">
        <f t="shared" si="134"/>
        <v>67.561676864635729</v>
      </c>
      <c r="AJ157" s="751">
        <f t="shared" si="134"/>
        <v>67.653848320112701</v>
      </c>
      <c r="AK157" s="751">
        <f t="shared" si="134"/>
        <v>67.746019775589701</v>
      </c>
      <c r="AL157" s="751">
        <f t="shared" si="134"/>
        <v>67.838191231066702</v>
      </c>
      <c r="AM157" s="751">
        <f t="shared" si="134"/>
        <v>67.930362686543688</v>
      </c>
      <c r="AN157" s="751">
        <f t="shared" si="134"/>
        <v>68.022534142020675</v>
      </c>
      <c r="AO157" s="751">
        <f t="shared" si="134"/>
        <v>68.114705597497675</v>
      </c>
      <c r="AP157" s="751">
        <f t="shared" si="134"/>
        <v>68.206877052974676</v>
      </c>
      <c r="AQ157" s="751">
        <f t="shared" si="134"/>
        <v>68.299048508451676</v>
      </c>
      <c r="AR157" s="751">
        <f t="shared" si="134"/>
        <v>68.391219963928648</v>
      </c>
      <c r="AS157" s="751">
        <f t="shared" si="134"/>
        <v>68.483391419405663</v>
      </c>
      <c r="AT157" s="751">
        <f>AT134*2</f>
        <v>68.575562874882635</v>
      </c>
      <c r="AU157" s="751">
        <f t="shared" ref="AU157" si="135">AU134*2</f>
        <v>68.66773433035965</v>
      </c>
    </row>
    <row r="158" spans="4:47" s="576" customFormat="1">
      <c r="D158" s="744" t="s">
        <v>1154</v>
      </c>
      <c r="E158" s="744" t="s">
        <v>104</v>
      </c>
      <c r="F158" s="745" t="s">
        <v>243</v>
      </c>
      <c r="G158" s="751">
        <f>G125</f>
        <v>76.5</v>
      </c>
      <c r="H158" s="751">
        <f t="shared" ref="H158:AU158" si="136">H125</f>
        <v>112.4</v>
      </c>
      <c r="I158" s="751">
        <f t="shared" si="136"/>
        <v>116.3</v>
      </c>
      <c r="J158" s="751">
        <f t="shared" si="136"/>
        <v>118.6</v>
      </c>
      <c r="K158" s="751">
        <f t="shared" si="136"/>
        <v>110.1</v>
      </c>
      <c r="L158" s="751">
        <f t="shared" si="136"/>
        <v>73.5</v>
      </c>
      <c r="M158" s="751">
        <f t="shared" si="136"/>
        <v>70.599999999999994</v>
      </c>
      <c r="N158" s="751">
        <f t="shared" si="136"/>
        <v>74.7</v>
      </c>
      <c r="O158" s="751">
        <f t="shared" si="136"/>
        <v>99.501075794723519</v>
      </c>
      <c r="P158" s="751">
        <f t="shared" si="136"/>
        <v>92.996963615472367</v>
      </c>
      <c r="Q158" s="751">
        <f t="shared" si="136"/>
        <v>91.517025086546809</v>
      </c>
      <c r="R158" s="751">
        <f t="shared" si="136"/>
        <v>69.532939675183428</v>
      </c>
      <c r="S158" s="751">
        <f t="shared" si="136"/>
        <v>72.941438545887451</v>
      </c>
      <c r="T158" s="751">
        <f t="shared" si="136"/>
        <v>75.264522441042786</v>
      </c>
      <c r="U158" s="751">
        <f t="shared" si="136"/>
        <v>76.962731586007934</v>
      </c>
      <c r="V158" s="751">
        <f t="shared" si="136"/>
        <v>78.199209412536121</v>
      </c>
      <c r="W158" s="751">
        <f t="shared" si="136"/>
        <v>79.564672750845261</v>
      </c>
      <c r="X158" s="751">
        <f t="shared" si="136"/>
        <v>80.902811517689884</v>
      </c>
      <c r="Y158" s="751">
        <f t="shared" si="136"/>
        <v>82.133932814730045</v>
      </c>
      <c r="Z158" s="751">
        <f t="shared" si="136"/>
        <v>83.42668470166312</v>
      </c>
      <c r="AA158" s="751">
        <f t="shared" si="136"/>
        <v>84.649874602600562</v>
      </c>
      <c r="AB158" s="751">
        <f t="shared" si="136"/>
        <v>84.343730840397711</v>
      </c>
      <c r="AC158" s="751">
        <f t="shared" si="136"/>
        <v>84.036854893898322</v>
      </c>
      <c r="AD158" s="751">
        <f t="shared" si="136"/>
        <v>83.731245986171288</v>
      </c>
      <c r="AE158" s="751">
        <f t="shared" si="136"/>
        <v>83.424869481157842</v>
      </c>
      <c r="AF158" s="751">
        <f t="shared" si="136"/>
        <v>83.118589672609204</v>
      </c>
      <c r="AG158" s="751">
        <f t="shared" si="136"/>
        <v>82.811383985383955</v>
      </c>
      <c r="AH158" s="751">
        <f t="shared" si="136"/>
        <v>82.505260877276157</v>
      </c>
      <c r="AI158" s="751">
        <f t="shared" si="136"/>
        <v>82.198407292957839</v>
      </c>
      <c r="AJ158" s="751">
        <f t="shared" si="136"/>
        <v>81.892482546272987</v>
      </c>
      <c r="AK158" s="751">
        <f t="shared" si="136"/>
        <v>81.586255922780509</v>
      </c>
      <c r="AL158" s="751">
        <f t="shared" si="136"/>
        <v>81.280029803612607</v>
      </c>
      <c r="AM158" s="751">
        <f t="shared" si="136"/>
        <v>80.976964003619855</v>
      </c>
      <c r="AN158" s="751">
        <f t="shared" si="136"/>
        <v>80.673903946081424</v>
      </c>
      <c r="AO158" s="751">
        <f t="shared" si="136"/>
        <v>80.370849638339479</v>
      </c>
      <c r="AP158" s="751">
        <f t="shared" si="136"/>
        <v>80.067801087745465</v>
      </c>
      <c r="AQ158" s="751">
        <f t="shared" si="136"/>
        <v>79.764758301660265</v>
      </c>
      <c r="AR158" s="751">
        <f t="shared" si="136"/>
        <v>79.461721287454196</v>
      </c>
      <c r="AS158" s="751">
        <f t="shared" si="136"/>
        <v>79.158690052506984</v>
      </c>
      <c r="AT158" s="751">
        <f t="shared" si="136"/>
        <v>78.85566460420776</v>
      </c>
      <c r="AU158" s="751">
        <f t="shared" si="136"/>
        <v>78.552644949955152</v>
      </c>
    </row>
    <row r="159" spans="4:47" s="576" customFormat="1">
      <c r="D159" s="744"/>
      <c r="E159" s="744" t="s">
        <v>433</v>
      </c>
      <c r="F159" s="745" t="s">
        <v>243</v>
      </c>
      <c r="G159" s="751">
        <f>G158+$E$177</f>
        <v>175.68699892341868</v>
      </c>
      <c r="H159" s="751">
        <f t="shared" ref="H159:AU159" si="137">H158+$E$177</f>
        <v>211.58699892341872</v>
      </c>
      <c r="I159" s="751">
        <f t="shared" si="137"/>
        <v>215.4869989234187</v>
      </c>
      <c r="J159" s="751">
        <f t="shared" si="137"/>
        <v>217.78699892341871</v>
      </c>
      <c r="K159" s="751">
        <f t="shared" si="137"/>
        <v>209.28699892341871</v>
      </c>
      <c r="L159" s="751">
        <f t="shared" si="137"/>
        <v>172.68699892341868</v>
      </c>
      <c r="M159" s="751">
        <f t="shared" si="137"/>
        <v>169.78699892341871</v>
      </c>
      <c r="N159" s="751">
        <f t="shared" si="137"/>
        <v>173.8869989234187</v>
      </c>
      <c r="O159" s="751">
        <f t="shared" si="137"/>
        <v>198.68807471814222</v>
      </c>
      <c r="P159" s="751">
        <f t="shared" si="137"/>
        <v>192.18396253889108</v>
      </c>
      <c r="Q159" s="751">
        <f t="shared" si="137"/>
        <v>190.70402400996551</v>
      </c>
      <c r="R159" s="751">
        <f t="shared" si="137"/>
        <v>168.71993859860214</v>
      </c>
      <c r="S159" s="751">
        <f t="shared" si="137"/>
        <v>172.12843746930616</v>
      </c>
      <c r="T159" s="751">
        <f t="shared" si="137"/>
        <v>174.45152136446148</v>
      </c>
      <c r="U159" s="751">
        <f t="shared" si="137"/>
        <v>176.14973050942663</v>
      </c>
      <c r="V159" s="751">
        <f t="shared" si="137"/>
        <v>177.38620833595482</v>
      </c>
      <c r="W159" s="751">
        <f t="shared" si="137"/>
        <v>178.75167167426395</v>
      </c>
      <c r="X159" s="751">
        <f t="shared" si="137"/>
        <v>180.08981044110857</v>
      </c>
      <c r="Y159" s="751">
        <f t="shared" si="137"/>
        <v>181.32093173814874</v>
      </c>
      <c r="Z159" s="751">
        <f t="shared" si="137"/>
        <v>182.61368362508182</v>
      </c>
      <c r="AA159" s="751">
        <f t="shared" si="137"/>
        <v>183.83687352601925</v>
      </c>
      <c r="AB159" s="751">
        <f t="shared" si="137"/>
        <v>183.5307297638164</v>
      </c>
      <c r="AC159" s="751">
        <f t="shared" si="137"/>
        <v>183.22385381731704</v>
      </c>
      <c r="AD159" s="751">
        <f t="shared" si="137"/>
        <v>182.91824490958999</v>
      </c>
      <c r="AE159" s="751">
        <f t="shared" si="137"/>
        <v>182.61186840457654</v>
      </c>
      <c r="AF159" s="751">
        <f t="shared" si="137"/>
        <v>182.30558859602792</v>
      </c>
      <c r="AG159" s="751">
        <f t="shared" si="137"/>
        <v>181.99838290880265</v>
      </c>
      <c r="AH159" s="751">
        <f t="shared" si="137"/>
        <v>181.69225980069484</v>
      </c>
      <c r="AI159" s="751">
        <f t="shared" si="137"/>
        <v>181.38540621637654</v>
      </c>
      <c r="AJ159" s="751">
        <f t="shared" si="137"/>
        <v>181.0794814696917</v>
      </c>
      <c r="AK159" s="751">
        <f t="shared" si="137"/>
        <v>180.77325484619922</v>
      </c>
      <c r="AL159" s="751">
        <f t="shared" si="137"/>
        <v>180.46702872703131</v>
      </c>
      <c r="AM159" s="751">
        <f t="shared" si="137"/>
        <v>180.16396292703854</v>
      </c>
      <c r="AN159" s="751">
        <f t="shared" si="137"/>
        <v>179.86090286950014</v>
      </c>
      <c r="AO159" s="751">
        <f t="shared" si="137"/>
        <v>179.55784856175819</v>
      </c>
      <c r="AP159" s="751">
        <f t="shared" si="137"/>
        <v>179.25480001116415</v>
      </c>
      <c r="AQ159" s="751">
        <f t="shared" si="137"/>
        <v>178.95175722507895</v>
      </c>
      <c r="AR159" s="751">
        <f t="shared" si="137"/>
        <v>178.64872021087291</v>
      </c>
      <c r="AS159" s="751">
        <f t="shared" si="137"/>
        <v>178.34568897592567</v>
      </c>
      <c r="AT159" s="751">
        <f t="shared" si="137"/>
        <v>178.04266352762647</v>
      </c>
      <c r="AU159" s="751">
        <f t="shared" si="137"/>
        <v>177.73964387337384</v>
      </c>
    </row>
    <row r="160" spans="4:47" s="576" customFormat="1">
      <c r="D160" s="744" t="s">
        <v>1118</v>
      </c>
      <c r="E160" s="744" t="s">
        <v>780</v>
      </c>
      <c r="F160" s="745" t="str">
        <f>F158</f>
        <v>MKr14</v>
      </c>
      <c r="G160" s="751">
        <v>0.01</v>
      </c>
      <c r="H160" s="751">
        <v>0.01</v>
      </c>
      <c r="I160" s="751">
        <v>0.01</v>
      </c>
      <c r="J160" s="751">
        <v>0.01</v>
      </c>
      <c r="K160" s="751">
        <v>0.01</v>
      </c>
      <c r="L160" s="751">
        <v>0.01</v>
      </c>
      <c r="M160" s="751">
        <v>0.01</v>
      </c>
      <c r="N160" s="751">
        <v>0.01</v>
      </c>
      <c r="O160" s="751">
        <v>0.01</v>
      </c>
      <c r="P160" s="751">
        <v>0.01</v>
      </c>
      <c r="Q160" s="751">
        <v>0.01</v>
      </c>
      <c r="R160" s="751">
        <v>0.01</v>
      </c>
      <c r="S160" s="751">
        <v>0.01</v>
      </c>
      <c r="T160" s="751">
        <v>0.01</v>
      </c>
      <c r="U160" s="751">
        <v>0.01</v>
      </c>
      <c r="V160" s="751">
        <v>0.01</v>
      </c>
      <c r="W160" s="751">
        <v>0.01</v>
      </c>
      <c r="X160" s="751">
        <v>0.01</v>
      </c>
      <c r="Y160" s="751">
        <v>0.01</v>
      </c>
      <c r="Z160" s="751">
        <v>0.01</v>
      </c>
      <c r="AA160" s="751">
        <v>0.01</v>
      </c>
      <c r="AB160" s="751">
        <v>0.01</v>
      </c>
      <c r="AC160" s="751">
        <v>0.01</v>
      </c>
      <c r="AD160" s="751">
        <v>0.01</v>
      </c>
      <c r="AE160" s="751">
        <v>0.01</v>
      </c>
      <c r="AF160" s="751">
        <v>0.01</v>
      </c>
      <c r="AG160" s="751">
        <v>0.01</v>
      </c>
      <c r="AH160" s="751">
        <v>0.01</v>
      </c>
      <c r="AI160" s="751">
        <v>0.01</v>
      </c>
      <c r="AJ160" s="751">
        <v>0.01</v>
      </c>
      <c r="AK160" s="751">
        <v>0.01</v>
      </c>
      <c r="AL160" s="751">
        <v>0.01</v>
      </c>
      <c r="AM160" s="751">
        <v>0.01</v>
      </c>
      <c r="AN160" s="751">
        <v>0.01</v>
      </c>
      <c r="AO160" s="751">
        <v>0.01</v>
      </c>
      <c r="AP160" s="751">
        <v>0.01</v>
      </c>
      <c r="AQ160" s="751">
        <v>0.01</v>
      </c>
      <c r="AR160" s="751">
        <v>0.01</v>
      </c>
      <c r="AS160" s="751">
        <v>0.01</v>
      </c>
      <c r="AT160" s="751">
        <v>0.01</v>
      </c>
      <c r="AU160" s="751">
        <v>0.01</v>
      </c>
    </row>
    <row r="161" spans="3:47" s="576" customFormat="1">
      <c r="D161" s="744" t="s">
        <v>1119</v>
      </c>
      <c r="E161" s="744" t="s">
        <v>844</v>
      </c>
      <c r="F161" s="745" t="str">
        <f>F160</f>
        <v>MKr14</v>
      </c>
      <c r="G161" s="751">
        <v>0.01</v>
      </c>
      <c r="H161" s="751">
        <v>0.01</v>
      </c>
      <c r="I161" s="751">
        <v>0.01</v>
      </c>
      <c r="J161" s="751">
        <v>0.01</v>
      </c>
      <c r="K161" s="751">
        <v>0.01</v>
      </c>
      <c r="L161" s="751">
        <v>0.01</v>
      </c>
      <c r="M161" s="751">
        <v>0.01</v>
      </c>
      <c r="N161" s="751">
        <v>0.01</v>
      </c>
      <c r="O161" s="751">
        <v>0.01</v>
      </c>
      <c r="P161" s="751">
        <v>0.01</v>
      </c>
      <c r="Q161" s="751">
        <v>0.01</v>
      </c>
      <c r="R161" s="751">
        <v>0.01</v>
      </c>
      <c r="S161" s="751">
        <v>0.01</v>
      </c>
      <c r="T161" s="751">
        <v>0.01</v>
      </c>
      <c r="U161" s="751">
        <v>0.01</v>
      </c>
      <c r="V161" s="751">
        <v>0.01</v>
      </c>
      <c r="W161" s="751">
        <v>0.01</v>
      </c>
      <c r="X161" s="751">
        <v>0.01</v>
      </c>
      <c r="Y161" s="751">
        <v>0.01</v>
      </c>
      <c r="Z161" s="751">
        <v>0.01</v>
      </c>
      <c r="AA161" s="751">
        <v>0.01</v>
      </c>
      <c r="AB161" s="751">
        <v>0.01</v>
      </c>
      <c r="AC161" s="751">
        <v>0.01</v>
      </c>
      <c r="AD161" s="751">
        <v>0.01</v>
      </c>
      <c r="AE161" s="751">
        <v>0.01</v>
      </c>
      <c r="AF161" s="751">
        <v>0.01</v>
      </c>
      <c r="AG161" s="751">
        <v>0.01</v>
      </c>
      <c r="AH161" s="751">
        <v>0.01</v>
      </c>
      <c r="AI161" s="751">
        <v>0.01</v>
      </c>
      <c r="AJ161" s="751">
        <v>0.01</v>
      </c>
      <c r="AK161" s="751">
        <v>0.01</v>
      </c>
      <c r="AL161" s="751">
        <v>0.01</v>
      </c>
      <c r="AM161" s="751">
        <v>0.01</v>
      </c>
      <c r="AN161" s="751">
        <v>0.01</v>
      </c>
      <c r="AO161" s="751">
        <v>0.01</v>
      </c>
      <c r="AP161" s="751">
        <v>0.01</v>
      </c>
      <c r="AQ161" s="751">
        <v>0.01</v>
      </c>
      <c r="AR161" s="751">
        <v>0.01</v>
      </c>
      <c r="AS161" s="751">
        <v>0.01</v>
      </c>
      <c r="AT161" s="751">
        <v>0.01</v>
      </c>
      <c r="AU161" s="751">
        <v>0.01</v>
      </c>
    </row>
    <row r="162" spans="3:47" s="576" customFormat="1">
      <c r="D162" s="744" t="s">
        <v>1120</v>
      </c>
      <c r="E162" s="744" t="s">
        <v>824</v>
      </c>
      <c r="F162" s="745" t="str">
        <f>F161</f>
        <v>MKr14</v>
      </c>
      <c r="G162" s="748">
        <f>G142*0.25</f>
        <v>11.5</v>
      </c>
      <c r="H162" s="748">
        <f t="shared" ref="H162:AU162" si="138">H142*0.25</f>
        <v>11.5</v>
      </c>
      <c r="I162" s="748">
        <f t="shared" si="138"/>
        <v>11.5</v>
      </c>
      <c r="J162" s="748">
        <f t="shared" si="138"/>
        <v>11.425000000000001</v>
      </c>
      <c r="K162" s="748">
        <f t="shared" si="138"/>
        <v>11.324999999999999</v>
      </c>
      <c r="L162" s="748">
        <f t="shared" si="138"/>
        <v>11.225</v>
      </c>
      <c r="M162" s="748">
        <f t="shared" si="138"/>
        <v>11.35</v>
      </c>
      <c r="N162" s="748">
        <f t="shared" si="138"/>
        <v>11.475</v>
      </c>
      <c r="O162" s="748">
        <f t="shared" si="138"/>
        <v>11.294868050622464</v>
      </c>
      <c r="P162" s="748">
        <f t="shared" si="138"/>
        <v>11.279400140745098</v>
      </c>
      <c r="Q162" s="748">
        <f t="shared" si="138"/>
        <v>11.312097425783408</v>
      </c>
      <c r="R162" s="748">
        <f t="shared" si="138"/>
        <v>11.297562531899668</v>
      </c>
      <c r="S162" s="748">
        <f t="shared" si="138"/>
        <v>11.348030368434129</v>
      </c>
      <c r="T162" s="748">
        <f t="shared" si="138"/>
        <v>11.41110848141796</v>
      </c>
      <c r="U162" s="748">
        <f t="shared" si="138"/>
        <v>11.480753774525216</v>
      </c>
      <c r="V162" s="748">
        <f t="shared" si="138"/>
        <v>11.551750361101513</v>
      </c>
      <c r="W162" s="748">
        <f t="shared" si="138"/>
        <v>11.604932745066808</v>
      </c>
      <c r="X162" s="748">
        <f t="shared" si="138"/>
        <v>11.657764830956497</v>
      </c>
      <c r="Y162" s="748">
        <f t="shared" si="138"/>
        <v>11.709981130768291</v>
      </c>
      <c r="Z162" s="748">
        <f t="shared" si="138"/>
        <v>11.763510976689322</v>
      </c>
      <c r="AA162" s="748">
        <f t="shared" si="138"/>
        <v>11.815776596049293</v>
      </c>
      <c r="AB162" s="748">
        <f t="shared" si="138"/>
        <v>11.840792317093445</v>
      </c>
      <c r="AC162" s="748">
        <f t="shared" si="138"/>
        <v>11.865762206921538</v>
      </c>
      <c r="AD162" s="748">
        <f t="shared" si="138"/>
        <v>11.890686557801363</v>
      </c>
      <c r="AE162" s="748">
        <f t="shared" si="138"/>
        <v>11.915565657391058</v>
      </c>
      <c r="AF162" s="748">
        <f t="shared" si="138"/>
        <v>11.940399788787957</v>
      </c>
      <c r="AG162" s="748">
        <f t="shared" si="138"/>
        <v>11.96538942725668</v>
      </c>
      <c r="AH162" s="748">
        <f t="shared" si="138"/>
        <v>11.99030602162429</v>
      </c>
      <c r="AI162" s="748">
        <f t="shared" si="138"/>
        <v>12.015150055072155</v>
      </c>
      <c r="AJ162" s="748">
        <f t="shared" si="138"/>
        <v>12.039922004208098</v>
      </c>
      <c r="AK162" s="748">
        <f t="shared" si="138"/>
        <v>12.064622339136843</v>
      </c>
      <c r="AL162" s="748">
        <f t="shared" si="138"/>
        <v>12.094406678579805</v>
      </c>
      <c r="AM162" s="748">
        <f t="shared" si="138"/>
        <v>12.124078924136491</v>
      </c>
      <c r="AN162" s="748">
        <f t="shared" si="138"/>
        <v>12.153639783922587</v>
      </c>
      <c r="AO162" s="748">
        <f t="shared" si="138"/>
        <v>12.183089957138392</v>
      </c>
      <c r="AP162" s="748">
        <f t="shared" si="138"/>
        <v>12.212430134165137</v>
      </c>
      <c r="AQ162" s="748">
        <f t="shared" si="138"/>
        <v>12.256143704717205</v>
      </c>
      <c r="AR162" s="748">
        <f t="shared" si="138"/>
        <v>12.299679871973648</v>
      </c>
      <c r="AS162" s="748">
        <f t="shared" si="138"/>
        <v>12.343039610164922</v>
      </c>
      <c r="AT162" s="748">
        <f t="shared" si="138"/>
        <v>12.386223881805252</v>
      </c>
      <c r="AU162" s="748">
        <f t="shared" si="138"/>
        <v>12.429233637820181</v>
      </c>
    </row>
    <row r="163" spans="3:47" s="576" customFormat="1">
      <c r="D163" s="744" t="s">
        <v>1121</v>
      </c>
      <c r="E163" s="744" t="s">
        <v>1122</v>
      </c>
      <c r="F163" s="745" t="s">
        <v>243</v>
      </c>
      <c r="G163" s="748">
        <f>G142</f>
        <v>46</v>
      </c>
      <c r="H163" s="748">
        <f t="shared" ref="H163:AU163" si="139">H142</f>
        <v>46</v>
      </c>
      <c r="I163" s="748">
        <f t="shared" si="139"/>
        <v>46</v>
      </c>
      <c r="J163" s="748">
        <f t="shared" si="139"/>
        <v>45.7</v>
      </c>
      <c r="K163" s="748">
        <f t="shared" si="139"/>
        <v>45.3</v>
      </c>
      <c r="L163" s="748">
        <f t="shared" si="139"/>
        <v>44.9</v>
      </c>
      <c r="M163" s="748">
        <f t="shared" si="139"/>
        <v>45.4</v>
      </c>
      <c r="N163" s="748">
        <f t="shared" si="139"/>
        <v>45.9</v>
      </c>
      <c r="O163" s="748">
        <f t="shared" si="139"/>
        <v>45.179472202489855</v>
      </c>
      <c r="P163" s="748">
        <f t="shared" si="139"/>
        <v>45.117600562980392</v>
      </c>
      <c r="Q163" s="748">
        <f t="shared" si="139"/>
        <v>45.248389703133633</v>
      </c>
      <c r="R163" s="748">
        <f t="shared" si="139"/>
        <v>45.190250127598674</v>
      </c>
      <c r="S163" s="748">
        <f t="shared" si="139"/>
        <v>45.392121473736516</v>
      </c>
      <c r="T163" s="748">
        <f t="shared" si="139"/>
        <v>45.644433925671841</v>
      </c>
      <c r="U163" s="748">
        <f t="shared" si="139"/>
        <v>45.923015098100862</v>
      </c>
      <c r="V163" s="748">
        <f t="shared" si="139"/>
        <v>46.207001444406053</v>
      </c>
      <c r="W163" s="748">
        <f t="shared" si="139"/>
        <v>46.419730980267232</v>
      </c>
      <c r="X163" s="748">
        <f t="shared" si="139"/>
        <v>46.631059323825987</v>
      </c>
      <c r="Y163" s="748">
        <f t="shared" si="139"/>
        <v>46.839924523073165</v>
      </c>
      <c r="Z163" s="748">
        <f t="shared" si="139"/>
        <v>47.054043906757286</v>
      </c>
      <c r="AA163" s="748">
        <f t="shared" si="139"/>
        <v>47.263106384197172</v>
      </c>
      <c r="AB163" s="748">
        <f t="shared" si="139"/>
        <v>47.363169268373781</v>
      </c>
      <c r="AC163" s="748">
        <f t="shared" si="139"/>
        <v>47.463048827686151</v>
      </c>
      <c r="AD163" s="748">
        <f t="shared" si="139"/>
        <v>47.562746231205452</v>
      </c>
      <c r="AE163" s="748">
        <f t="shared" si="139"/>
        <v>47.662262629564232</v>
      </c>
      <c r="AF163" s="748">
        <f t="shared" si="139"/>
        <v>47.761599155151828</v>
      </c>
      <c r="AG163" s="748">
        <f t="shared" si="139"/>
        <v>47.861557709026719</v>
      </c>
      <c r="AH163" s="748">
        <f t="shared" si="139"/>
        <v>47.961224086497161</v>
      </c>
      <c r="AI163" s="748">
        <f t="shared" si="139"/>
        <v>48.06060022028862</v>
      </c>
      <c r="AJ163" s="748">
        <f t="shared" si="139"/>
        <v>48.159688016832391</v>
      </c>
      <c r="AK163" s="748">
        <f t="shared" si="139"/>
        <v>48.258489356547372</v>
      </c>
      <c r="AL163" s="748">
        <f t="shared" si="139"/>
        <v>48.37762671431922</v>
      </c>
      <c r="AM163" s="748">
        <f t="shared" si="139"/>
        <v>48.496315696545963</v>
      </c>
      <c r="AN163" s="748">
        <f t="shared" si="139"/>
        <v>48.614559135690349</v>
      </c>
      <c r="AO163" s="748">
        <f t="shared" si="139"/>
        <v>48.73235982855357</v>
      </c>
      <c r="AP163" s="748">
        <f t="shared" si="139"/>
        <v>48.849720536660548</v>
      </c>
      <c r="AQ163" s="748">
        <f t="shared" si="139"/>
        <v>49.024574818868821</v>
      </c>
      <c r="AR163" s="748">
        <f t="shared" si="139"/>
        <v>49.198719487894593</v>
      </c>
      <c r="AS163" s="748">
        <f t="shared" si="139"/>
        <v>49.372158440659689</v>
      </c>
      <c r="AT163" s="748">
        <f t="shared" si="139"/>
        <v>49.544895527221009</v>
      </c>
      <c r="AU163" s="748">
        <f t="shared" si="139"/>
        <v>49.716934551280723</v>
      </c>
    </row>
    <row r="164" spans="3:47" s="576" customFormat="1">
      <c r="D164" s="744"/>
      <c r="E164" s="744" t="s">
        <v>1123</v>
      </c>
      <c r="F164" s="745" t="s">
        <v>243</v>
      </c>
      <c r="G164" s="748">
        <f>$E$188*G113</f>
        <v>11.55</v>
      </c>
      <c r="H164" s="748">
        <f t="shared" ref="H164:AU164" si="140">$E$188*H113</f>
        <v>13.85</v>
      </c>
      <c r="I164" s="748">
        <f t="shared" si="140"/>
        <v>11.95</v>
      </c>
      <c r="J164" s="748">
        <f t="shared" si="140"/>
        <v>10.15</v>
      </c>
      <c r="K164" s="748">
        <f t="shared" si="140"/>
        <v>8.6</v>
      </c>
      <c r="L164" s="748">
        <f t="shared" si="140"/>
        <v>7.85</v>
      </c>
      <c r="M164" s="748">
        <f t="shared" si="140"/>
        <v>6.1</v>
      </c>
      <c r="N164" s="748">
        <f t="shared" si="140"/>
        <v>5.85</v>
      </c>
      <c r="O164" s="748">
        <f t="shared" si="140"/>
        <v>11.467898064011884</v>
      </c>
      <c r="P164" s="748">
        <f t="shared" si="140"/>
        <v>7.7663830030950765</v>
      </c>
      <c r="Q164" s="748">
        <f t="shared" si="140"/>
        <v>6.4647759447939386</v>
      </c>
      <c r="R164" s="748">
        <f t="shared" si="140"/>
        <v>6.5830294771624471</v>
      </c>
      <c r="S164" s="748">
        <f t="shared" si="140"/>
        <v>6.8367367407151214</v>
      </c>
      <c r="T164" s="748">
        <f t="shared" si="140"/>
        <v>7.0869633419431945</v>
      </c>
      <c r="U164" s="748">
        <f t="shared" si="140"/>
        <v>7.3237003604902249</v>
      </c>
      <c r="V164" s="748">
        <f t="shared" si="140"/>
        <v>7.2904494140519214</v>
      </c>
      <c r="W164" s="748">
        <f t="shared" si="140"/>
        <v>7.2658292469417001</v>
      </c>
      <c r="X164" s="748">
        <f t="shared" si="140"/>
        <v>7.2386152965441681</v>
      </c>
      <c r="Y164" s="748">
        <f t="shared" si="140"/>
        <v>7.2065953240946836</v>
      </c>
      <c r="Z164" s="748">
        <f t="shared" si="140"/>
        <v>7.1719818027432378</v>
      </c>
      <c r="AA164" s="748">
        <f t="shared" si="140"/>
        <v>7.1332515760414905</v>
      </c>
      <c r="AB164" s="748">
        <f t="shared" si="140"/>
        <v>7.1153465320667548</v>
      </c>
      <c r="AC164" s="748">
        <f t="shared" si="140"/>
        <v>7.097518632127068</v>
      </c>
      <c r="AD164" s="748">
        <f t="shared" si="140"/>
        <v>7.0795572350830023</v>
      </c>
      <c r="AE164" s="748">
        <f t="shared" si="140"/>
        <v>7.0616767132396783</v>
      </c>
      <c r="AF164" s="748">
        <f t="shared" si="140"/>
        <v>7.0437860033118742</v>
      </c>
      <c r="AG164" s="748">
        <f t="shared" si="140"/>
        <v>7.0259928453493545</v>
      </c>
      <c r="AH164" s="748">
        <f t="shared" si="140"/>
        <v>7.0080856252282011</v>
      </c>
      <c r="AI164" s="748">
        <f t="shared" si="140"/>
        <v>6.990255369175598</v>
      </c>
      <c r="AJ164" s="748">
        <f t="shared" si="140"/>
        <v>6.9723272493975728</v>
      </c>
      <c r="AK164" s="748">
        <f t="shared" si="140"/>
        <v>6.9544309358125274</v>
      </c>
      <c r="AL164" s="748">
        <f t="shared" si="140"/>
        <v>6.9365345690910853</v>
      </c>
      <c r="AM164" s="748">
        <f t="shared" si="140"/>
        <v>6.9183052264039517</v>
      </c>
      <c r="AN164" s="748">
        <f t="shared" si="140"/>
        <v>6.900075278683218</v>
      </c>
      <c r="AO164" s="748">
        <f t="shared" si="140"/>
        <v>6.8818447251553092</v>
      </c>
      <c r="AP164" s="748">
        <f t="shared" si="140"/>
        <v>6.8636135650456671</v>
      </c>
      <c r="AQ164" s="748">
        <f t="shared" si="140"/>
        <v>6.8453817975787317</v>
      </c>
      <c r="AR164" s="748">
        <f t="shared" si="140"/>
        <v>6.8271494219779587</v>
      </c>
      <c r="AS164" s="748">
        <f t="shared" si="140"/>
        <v>6.808916437465812</v>
      </c>
      <c r="AT164" s="748">
        <f t="shared" si="140"/>
        <v>6.7906828432637569</v>
      </c>
      <c r="AU164" s="748">
        <f t="shared" si="140"/>
        <v>6.7724486385922678</v>
      </c>
    </row>
    <row r="165" spans="3:47" s="576" customFormat="1">
      <c r="D165" s="744"/>
      <c r="E165" s="744" t="s">
        <v>1124</v>
      </c>
      <c r="F165" s="745" t="s">
        <v>243</v>
      </c>
      <c r="G165" s="748">
        <f>$E$190</f>
        <v>4.1805555555555554</v>
      </c>
      <c r="H165" s="748">
        <f t="shared" ref="H165:AU165" si="141">$E$190</f>
        <v>4.1805555555555554</v>
      </c>
      <c r="I165" s="748">
        <f t="shared" si="141"/>
        <v>4.1805555555555554</v>
      </c>
      <c r="J165" s="748">
        <f t="shared" si="141"/>
        <v>4.1805555555555554</v>
      </c>
      <c r="K165" s="748">
        <f t="shared" si="141"/>
        <v>4.1805555555555554</v>
      </c>
      <c r="L165" s="748">
        <f t="shared" si="141"/>
        <v>4.1805555555555554</v>
      </c>
      <c r="M165" s="748">
        <f t="shared" si="141"/>
        <v>4.1805555555555554</v>
      </c>
      <c r="N165" s="748">
        <f t="shared" si="141"/>
        <v>4.1805555555555554</v>
      </c>
      <c r="O165" s="748">
        <f t="shared" si="141"/>
        <v>4.1805555555555554</v>
      </c>
      <c r="P165" s="748">
        <f t="shared" si="141"/>
        <v>4.1805555555555554</v>
      </c>
      <c r="Q165" s="748">
        <f t="shared" si="141"/>
        <v>4.1805555555555554</v>
      </c>
      <c r="R165" s="748">
        <f t="shared" si="141"/>
        <v>4.1805555555555554</v>
      </c>
      <c r="S165" s="748">
        <f t="shared" si="141"/>
        <v>4.1805555555555554</v>
      </c>
      <c r="T165" s="748">
        <f t="shared" si="141"/>
        <v>4.1805555555555554</v>
      </c>
      <c r="U165" s="748">
        <f t="shared" si="141"/>
        <v>4.1805555555555554</v>
      </c>
      <c r="V165" s="748">
        <f t="shared" si="141"/>
        <v>4.1805555555555554</v>
      </c>
      <c r="W165" s="748">
        <f t="shared" si="141"/>
        <v>4.1805555555555554</v>
      </c>
      <c r="X165" s="748">
        <f t="shared" si="141"/>
        <v>4.1805555555555554</v>
      </c>
      <c r="Y165" s="748">
        <f t="shared" si="141"/>
        <v>4.1805555555555554</v>
      </c>
      <c r="Z165" s="748">
        <f t="shared" si="141"/>
        <v>4.1805555555555554</v>
      </c>
      <c r="AA165" s="748">
        <f t="shared" si="141"/>
        <v>4.1805555555555554</v>
      </c>
      <c r="AB165" s="748">
        <f t="shared" si="141"/>
        <v>4.1805555555555554</v>
      </c>
      <c r="AC165" s="748">
        <f t="shared" si="141"/>
        <v>4.1805555555555554</v>
      </c>
      <c r="AD165" s="748">
        <f t="shared" si="141"/>
        <v>4.1805555555555554</v>
      </c>
      <c r="AE165" s="748">
        <f t="shared" si="141"/>
        <v>4.1805555555555554</v>
      </c>
      <c r="AF165" s="748">
        <f t="shared" si="141"/>
        <v>4.1805555555555554</v>
      </c>
      <c r="AG165" s="748">
        <f t="shared" si="141"/>
        <v>4.1805555555555554</v>
      </c>
      <c r="AH165" s="748">
        <f t="shared" si="141"/>
        <v>4.1805555555555554</v>
      </c>
      <c r="AI165" s="748">
        <f t="shared" si="141"/>
        <v>4.1805555555555554</v>
      </c>
      <c r="AJ165" s="748">
        <f t="shared" si="141"/>
        <v>4.1805555555555554</v>
      </c>
      <c r="AK165" s="748">
        <f t="shared" si="141"/>
        <v>4.1805555555555554</v>
      </c>
      <c r="AL165" s="748">
        <f t="shared" si="141"/>
        <v>4.1805555555555554</v>
      </c>
      <c r="AM165" s="748">
        <f t="shared" si="141"/>
        <v>4.1805555555555554</v>
      </c>
      <c r="AN165" s="748">
        <f t="shared" si="141"/>
        <v>4.1805555555555554</v>
      </c>
      <c r="AO165" s="748">
        <f t="shared" si="141"/>
        <v>4.1805555555555554</v>
      </c>
      <c r="AP165" s="748">
        <f t="shared" si="141"/>
        <v>4.1805555555555554</v>
      </c>
      <c r="AQ165" s="748">
        <f t="shared" si="141"/>
        <v>4.1805555555555554</v>
      </c>
      <c r="AR165" s="748">
        <f t="shared" si="141"/>
        <v>4.1805555555555554</v>
      </c>
      <c r="AS165" s="748">
        <f t="shared" si="141"/>
        <v>4.1805555555555554</v>
      </c>
      <c r="AT165" s="748">
        <f t="shared" si="141"/>
        <v>4.1805555555555554</v>
      </c>
      <c r="AU165" s="748">
        <f t="shared" si="141"/>
        <v>4.1805555555555554</v>
      </c>
    </row>
    <row r="166" spans="3:47" s="576" customFormat="1">
      <c r="D166" s="744" t="s">
        <v>1125</v>
      </c>
      <c r="E166" s="744" t="s">
        <v>1126</v>
      </c>
      <c r="F166" s="745" t="s">
        <v>243</v>
      </c>
      <c r="G166" s="748">
        <f>$E$171</f>
        <v>0.1</v>
      </c>
      <c r="H166" s="748">
        <f t="shared" ref="H166:AU166" si="142">$E$171</f>
        <v>0.1</v>
      </c>
      <c r="I166" s="748">
        <f t="shared" si="142"/>
        <v>0.1</v>
      </c>
      <c r="J166" s="748">
        <f t="shared" si="142"/>
        <v>0.1</v>
      </c>
      <c r="K166" s="748">
        <f t="shared" si="142"/>
        <v>0.1</v>
      </c>
      <c r="L166" s="748">
        <f t="shared" si="142"/>
        <v>0.1</v>
      </c>
      <c r="M166" s="748">
        <f t="shared" si="142"/>
        <v>0.1</v>
      </c>
      <c r="N166" s="748">
        <f t="shared" si="142"/>
        <v>0.1</v>
      </c>
      <c r="O166" s="748">
        <f t="shared" si="142"/>
        <v>0.1</v>
      </c>
      <c r="P166" s="748">
        <f t="shared" si="142"/>
        <v>0.1</v>
      </c>
      <c r="Q166" s="748">
        <f t="shared" si="142"/>
        <v>0.1</v>
      </c>
      <c r="R166" s="748">
        <f t="shared" si="142"/>
        <v>0.1</v>
      </c>
      <c r="S166" s="748">
        <f t="shared" si="142"/>
        <v>0.1</v>
      </c>
      <c r="T166" s="748">
        <f t="shared" si="142"/>
        <v>0.1</v>
      </c>
      <c r="U166" s="748">
        <f t="shared" si="142"/>
        <v>0.1</v>
      </c>
      <c r="V166" s="748">
        <f t="shared" si="142"/>
        <v>0.1</v>
      </c>
      <c r="W166" s="748">
        <f t="shared" si="142"/>
        <v>0.1</v>
      </c>
      <c r="X166" s="748">
        <f t="shared" si="142"/>
        <v>0.1</v>
      </c>
      <c r="Y166" s="748">
        <f t="shared" si="142"/>
        <v>0.1</v>
      </c>
      <c r="Z166" s="748">
        <f t="shared" si="142"/>
        <v>0.1</v>
      </c>
      <c r="AA166" s="748">
        <f t="shared" si="142"/>
        <v>0.1</v>
      </c>
      <c r="AB166" s="748">
        <f t="shared" si="142"/>
        <v>0.1</v>
      </c>
      <c r="AC166" s="748">
        <f t="shared" si="142"/>
        <v>0.1</v>
      </c>
      <c r="AD166" s="748">
        <f t="shared" si="142"/>
        <v>0.1</v>
      </c>
      <c r="AE166" s="748">
        <f t="shared" si="142"/>
        <v>0.1</v>
      </c>
      <c r="AF166" s="748">
        <f t="shared" si="142"/>
        <v>0.1</v>
      </c>
      <c r="AG166" s="748">
        <f t="shared" si="142"/>
        <v>0.1</v>
      </c>
      <c r="AH166" s="748">
        <f t="shared" si="142"/>
        <v>0.1</v>
      </c>
      <c r="AI166" s="748">
        <f t="shared" si="142"/>
        <v>0.1</v>
      </c>
      <c r="AJ166" s="748">
        <f t="shared" si="142"/>
        <v>0.1</v>
      </c>
      <c r="AK166" s="748">
        <f t="shared" si="142"/>
        <v>0.1</v>
      </c>
      <c r="AL166" s="748">
        <f t="shared" si="142"/>
        <v>0.1</v>
      </c>
      <c r="AM166" s="748">
        <f t="shared" si="142"/>
        <v>0.1</v>
      </c>
      <c r="AN166" s="748">
        <f t="shared" si="142"/>
        <v>0.1</v>
      </c>
      <c r="AO166" s="748">
        <f t="shared" si="142"/>
        <v>0.1</v>
      </c>
      <c r="AP166" s="748">
        <f t="shared" si="142"/>
        <v>0.1</v>
      </c>
      <c r="AQ166" s="748">
        <f t="shared" si="142"/>
        <v>0.1</v>
      </c>
      <c r="AR166" s="748">
        <f t="shared" si="142"/>
        <v>0.1</v>
      </c>
      <c r="AS166" s="748">
        <f t="shared" si="142"/>
        <v>0.1</v>
      </c>
      <c r="AT166" s="748">
        <f t="shared" si="142"/>
        <v>0.1</v>
      </c>
      <c r="AU166" s="748">
        <f t="shared" si="142"/>
        <v>0.1</v>
      </c>
    </row>
    <row r="167" spans="3:47" s="576" customFormat="1">
      <c r="D167" s="744"/>
      <c r="E167" s="744"/>
      <c r="F167" s="745"/>
      <c r="G167" s="744"/>
      <c r="H167" s="634"/>
    </row>
    <row r="168" spans="3:47" s="576" customFormat="1">
      <c r="D168" s="744"/>
      <c r="E168" s="744"/>
      <c r="F168" s="745"/>
      <c r="G168" s="744"/>
      <c r="H168" s="634"/>
    </row>
    <row r="169" spans="3:47" s="576" customFormat="1" ht="13.5" thickBot="1">
      <c r="D169" s="744"/>
      <c r="E169" s="744"/>
      <c r="F169" s="745"/>
      <c r="G169" s="744"/>
      <c r="H169" s="634"/>
    </row>
    <row r="170" spans="3:47" s="576" customFormat="1" ht="13.5" thickBot="1">
      <c r="C170" s="273" t="s">
        <v>397</v>
      </c>
      <c r="D170" s="274" t="s">
        <v>388</v>
      </c>
      <c r="E170" s="274"/>
      <c r="F170" s="274" t="s">
        <v>400</v>
      </c>
      <c r="G170" s="274" t="s">
        <v>390</v>
      </c>
      <c r="H170" s="274" t="s">
        <v>507</v>
      </c>
      <c r="I170" s="275" t="s">
        <v>182</v>
      </c>
    </row>
    <row r="171" spans="3:47" s="576" customFormat="1">
      <c r="C171" s="270" t="s">
        <v>401</v>
      </c>
      <c r="D171" s="576" t="s">
        <v>402</v>
      </c>
      <c r="E171" s="576">
        <v>0.1</v>
      </c>
      <c r="F171" s="576" t="s">
        <v>394</v>
      </c>
      <c r="G171" s="576" t="s">
        <v>403</v>
      </c>
      <c r="I171" s="250"/>
    </row>
    <row r="172" spans="3:47" s="576" customFormat="1">
      <c r="C172" s="270" t="s">
        <v>382</v>
      </c>
      <c r="D172" s="576" t="s">
        <v>1127</v>
      </c>
      <c r="E172" s="248">
        <v>3</v>
      </c>
      <c r="F172" s="576" t="s">
        <v>395</v>
      </c>
      <c r="G172" s="576" t="s">
        <v>391</v>
      </c>
      <c r="I172" s="250"/>
    </row>
    <row r="173" spans="3:47" s="576" customFormat="1">
      <c r="C173" s="270" t="s">
        <v>383</v>
      </c>
      <c r="D173" s="576" t="s">
        <v>1128</v>
      </c>
      <c r="E173" s="576">
        <v>4</v>
      </c>
      <c r="F173" s="576" t="s">
        <v>395</v>
      </c>
      <c r="G173" s="576" t="s">
        <v>391</v>
      </c>
      <c r="I173" s="250"/>
    </row>
    <row r="174" spans="3:47" s="576" customFormat="1">
      <c r="C174" s="270" t="s">
        <v>387</v>
      </c>
      <c r="D174" s="576" t="s">
        <v>1128</v>
      </c>
      <c r="E174" s="576">
        <v>3</v>
      </c>
      <c r="F174" s="576" t="s">
        <v>395</v>
      </c>
      <c r="G174" s="634" t="s">
        <v>391</v>
      </c>
      <c r="H174" s="634"/>
      <c r="I174" s="250"/>
    </row>
    <row r="175" spans="3:47" s="576" customFormat="1">
      <c r="C175" s="270" t="s">
        <v>775</v>
      </c>
      <c r="D175" s="752" t="s">
        <v>776</v>
      </c>
      <c r="E175" s="576">
        <v>1.1000000000000001</v>
      </c>
      <c r="F175" s="576" t="s">
        <v>395</v>
      </c>
      <c r="G175" s="576" t="s">
        <v>391</v>
      </c>
      <c r="H175" s="634"/>
    </row>
    <row r="176" spans="3:47" s="576" customFormat="1">
      <c r="C176" s="270" t="s">
        <v>384</v>
      </c>
      <c r="D176" s="634" t="s">
        <v>645</v>
      </c>
      <c r="E176" s="753">
        <v>63.673753033597997</v>
      </c>
      <c r="F176" s="576" t="s">
        <v>394</v>
      </c>
      <c r="G176" s="576" t="s">
        <v>393</v>
      </c>
      <c r="I176" s="754">
        <v>41640</v>
      </c>
    </row>
    <row r="177" spans="3:28" s="576" customFormat="1">
      <c r="C177" s="270" t="s">
        <v>385</v>
      </c>
      <c r="D177" s="634" t="s">
        <v>646</v>
      </c>
      <c r="E177" s="753">
        <v>99.186998923418699</v>
      </c>
      <c r="F177" s="576" t="s">
        <v>394</v>
      </c>
      <c r="G177" s="576" t="s">
        <v>393</v>
      </c>
      <c r="I177" s="754">
        <v>41640</v>
      </c>
    </row>
    <row r="178" spans="3:28" s="576" customFormat="1">
      <c r="C178" s="270" t="s">
        <v>386</v>
      </c>
      <c r="D178" s="576" t="s">
        <v>396</v>
      </c>
      <c r="G178" s="576" t="s">
        <v>391</v>
      </c>
      <c r="I178" s="250"/>
    </row>
    <row r="179" spans="3:28" s="576" customFormat="1">
      <c r="C179" s="525" t="s">
        <v>1129</v>
      </c>
      <c r="D179" s="576" t="s">
        <v>1130</v>
      </c>
      <c r="E179" s="576">
        <v>1.5</v>
      </c>
      <c r="F179" s="576" t="s">
        <v>1131</v>
      </c>
      <c r="G179" s="634" t="s">
        <v>1132</v>
      </c>
      <c r="I179" s="250"/>
    </row>
    <row r="180" spans="3:28" s="576" customFormat="1">
      <c r="C180" s="270" t="s">
        <v>398</v>
      </c>
      <c r="D180" s="634" t="str">
        <f>E180*100&amp;"% of imported crude oil cost"</f>
        <v>95% of imported crude oil cost</v>
      </c>
      <c r="E180" s="276">
        <v>0.95</v>
      </c>
      <c r="G180" s="576" t="s">
        <v>687</v>
      </c>
      <c r="H180" s="634" t="s">
        <v>688</v>
      </c>
      <c r="I180" s="250"/>
    </row>
    <row r="181" spans="3:28" s="576" customFormat="1">
      <c r="C181" s="270" t="s">
        <v>380</v>
      </c>
      <c r="D181" s="576" t="str">
        <f>E181*100&amp;"% of imported natural gas cost"</f>
        <v>95% of imported natural gas cost</v>
      </c>
      <c r="E181" s="276">
        <v>0.95</v>
      </c>
      <c r="G181" s="576" t="s">
        <v>687</v>
      </c>
      <c r="H181" s="576" t="s">
        <v>688</v>
      </c>
      <c r="I181" s="250"/>
    </row>
    <row r="182" spans="3:28" s="576" customFormat="1">
      <c r="C182" s="525" t="s">
        <v>641</v>
      </c>
      <c r="D182" s="576" t="str">
        <f>E182*100&amp;"% of imported crude oil cost"</f>
        <v>95% of imported crude oil cost</v>
      </c>
      <c r="E182" s="276">
        <v>0.95</v>
      </c>
      <c r="G182" s="576" t="s">
        <v>391</v>
      </c>
      <c r="I182" s="250"/>
    </row>
    <row r="183" spans="3:28" s="576" customFormat="1">
      <c r="C183" s="525" t="s">
        <v>640</v>
      </c>
      <c r="D183" s="576" t="str">
        <f>E183*100&amp;"% of imported natural gas cost"</f>
        <v>95% of imported natural gas cost</v>
      </c>
      <c r="E183" s="276">
        <v>0.95</v>
      </c>
      <c r="G183" s="576" t="s">
        <v>391</v>
      </c>
      <c r="I183" s="250"/>
    </row>
    <row r="184" spans="3:28" s="576" customFormat="1">
      <c r="C184" s="525" t="s">
        <v>710</v>
      </c>
      <c r="D184" s="634" t="s">
        <v>1133</v>
      </c>
      <c r="E184" s="809">
        <v>0.3</v>
      </c>
      <c r="G184" s="576" t="s">
        <v>687</v>
      </c>
      <c r="I184" s="250"/>
    </row>
    <row r="185" spans="3:28" s="576" customFormat="1" ht="13.5" thickBot="1">
      <c r="C185" s="755" t="s">
        <v>399</v>
      </c>
      <c r="D185" s="756" t="str">
        <f>E185*100&amp;"% of import technology price (set low to avoid export)"</f>
        <v>95% of import technology price (set low to avoid export)</v>
      </c>
      <c r="E185" s="757">
        <v>0.95</v>
      </c>
      <c r="F185" s="758"/>
      <c r="G185" s="758" t="s">
        <v>687</v>
      </c>
      <c r="H185" s="758"/>
      <c r="I185" s="759"/>
    </row>
    <row r="186" spans="3:28" s="634" customFormat="1">
      <c r="C186" s="634" t="str">
        <f>C202</f>
        <v>Export technology - Bio Naphtha (Petroleoum)</v>
      </c>
      <c r="D186" s="634" t="s">
        <v>1134</v>
      </c>
      <c r="E186" s="760">
        <v>1</v>
      </c>
      <c r="G186" s="634" t="s">
        <v>1135</v>
      </c>
    </row>
    <row r="187" spans="3:28" s="634" customFormat="1">
      <c r="C187" s="634" t="str">
        <f t="shared" ref="C187:C191" si="143">C203</f>
        <v>Export technology - Rape Cake</v>
      </c>
      <c r="E187" s="634">
        <f>E171</f>
        <v>0.1</v>
      </c>
      <c r="G187" s="634" t="s">
        <v>1136</v>
      </c>
    </row>
    <row r="188" spans="3:28" s="634" customFormat="1">
      <c r="C188" s="634" t="str">
        <f t="shared" si="143"/>
        <v>Export technology - Sugar Beet Pulp</v>
      </c>
      <c r="D188" s="634" t="s">
        <v>1137</v>
      </c>
      <c r="E188" s="760">
        <v>0.5</v>
      </c>
      <c r="G188" s="634" t="s">
        <v>391</v>
      </c>
    </row>
    <row r="189" spans="3:28" s="634" customFormat="1">
      <c r="C189" s="634">
        <f t="shared" si="143"/>
        <v>0</v>
      </c>
      <c r="E189" s="634">
        <v>0</v>
      </c>
      <c r="G189" s="634" t="s">
        <v>1138</v>
      </c>
      <c r="Z189" s="761"/>
      <c r="AB189" s="761"/>
    </row>
    <row r="190" spans="3:28" s="634" customFormat="1">
      <c r="C190" s="634" t="str">
        <f t="shared" si="143"/>
        <v>Fossile fuel prices (CIF import price)</v>
      </c>
      <c r="E190" s="634">
        <f>43*0.35/3.6</f>
        <v>4.1805555555555554</v>
      </c>
      <c r="G190" s="634" t="s">
        <v>1139</v>
      </c>
    </row>
    <row r="191" spans="3:28" s="634" customFormat="1">
      <c r="C191" s="634">
        <f t="shared" si="143"/>
        <v>0</v>
      </c>
      <c r="E191" s="634">
        <f>E171</f>
        <v>0.1</v>
      </c>
      <c r="G191" s="634" t="s">
        <v>1136</v>
      </c>
    </row>
    <row r="192" spans="3:28" s="576" customFormat="1">
      <c r="D192" s="634"/>
      <c r="E192" s="276"/>
    </row>
    <row r="193" spans="2:47" s="576" customFormat="1" ht="18" thickBot="1">
      <c r="B193" s="744"/>
      <c r="C193" s="232" t="s">
        <v>647</v>
      </c>
      <c r="D193" s="745"/>
      <c r="E193" s="744"/>
      <c r="F193" s="634"/>
    </row>
    <row r="194" spans="2:47" s="576" customFormat="1" ht="14.25" thickTop="1" thickBot="1">
      <c r="B194" s="744"/>
      <c r="C194" s="273" t="s">
        <v>397</v>
      </c>
      <c r="D194" s="274" t="s">
        <v>388</v>
      </c>
      <c r="E194" s="274"/>
      <c r="F194" s="274" t="s">
        <v>400</v>
      </c>
      <c r="G194" s="274" t="s">
        <v>390</v>
      </c>
      <c r="H194" s="275" t="s">
        <v>182</v>
      </c>
    </row>
    <row r="195" spans="2:47" s="576" customFormat="1">
      <c r="B195" s="744"/>
      <c r="C195" s="762" t="s">
        <v>448</v>
      </c>
      <c r="D195" s="634" t="s">
        <v>576</v>
      </c>
      <c r="E195" s="763">
        <f>BiomassCost!G30</f>
        <v>72.400000000000006</v>
      </c>
      <c r="F195" s="576" t="s">
        <v>642</v>
      </c>
      <c r="H195" s="250"/>
      <c r="K195" s="310"/>
    </row>
    <row r="196" spans="2:47" s="576" customFormat="1">
      <c r="B196" s="744"/>
      <c r="C196" s="762" t="s">
        <v>449</v>
      </c>
      <c r="D196" s="634" t="s">
        <v>577</v>
      </c>
      <c r="E196" s="763">
        <f>BiomassCost!G33</f>
        <v>101.7</v>
      </c>
      <c r="F196" s="576" t="s">
        <v>642</v>
      </c>
      <c r="H196" s="250"/>
      <c r="K196" s="310"/>
    </row>
    <row r="197" spans="2:47" s="576" customFormat="1">
      <c r="B197" s="744"/>
      <c r="C197" s="762" t="s">
        <v>450</v>
      </c>
      <c r="D197" s="634" t="s">
        <v>578</v>
      </c>
      <c r="E197" s="763">
        <f>BiomassCost!G31</f>
        <v>10.6</v>
      </c>
      <c r="F197" s="576" t="s">
        <v>642</v>
      </c>
      <c r="H197" s="250"/>
      <c r="K197" s="310"/>
    </row>
    <row r="198" spans="2:47" s="576" customFormat="1">
      <c r="B198" s="744"/>
      <c r="C198" s="762" t="s">
        <v>451</v>
      </c>
      <c r="D198" s="634" t="s">
        <v>579</v>
      </c>
      <c r="E198" s="763">
        <f>BiomassCost!$G$43</f>
        <v>207.6</v>
      </c>
      <c r="F198" s="576" t="s">
        <v>642</v>
      </c>
      <c r="H198" s="250"/>
      <c r="K198" s="310"/>
    </row>
    <row r="199" spans="2:47" s="576" customFormat="1">
      <c r="B199" s="744"/>
      <c r="C199" s="762" t="s">
        <v>452</v>
      </c>
      <c r="D199" s="634" t="s">
        <v>579</v>
      </c>
      <c r="E199" s="763">
        <f>BiomassCost!$G$43</f>
        <v>207.6</v>
      </c>
      <c r="F199" s="576" t="s">
        <v>642</v>
      </c>
      <c r="H199" s="250"/>
      <c r="K199" s="310"/>
    </row>
    <row r="200" spans="2:47" s="576" customFormat="1">
      <c r="B200" s="744"/>
      <c r="C200" s="762" t="s">
        <v>635</v>
      </c>
      <c r="D200" s="634" t="s">
        <v>643</v>
      </c>
      <c r="E200" s="763">
        <v>10</v>
      </c>
      <c r="F200" s="576" t="s">
        <v>642</v>
      </c>
      <c r="H200" s="250"/>
      <c r="K200" s="310"/>
    </row>
    <row r="201" spans="2:47" s="576" customFormat="1">
      <c r="B201" s="744"/>
      <c r="C201" s="762" t="s">
        <v>636</v>
      </c>
      <c r="D201" s="634" t="s">
        <v>643</v>
      </c>
      <c r="E201" s="763">
        <v>10</v>
      </c>
      <c r="F201" s="576" t="s">
        <v>642</v>
      </c>
      <c r="H201" s="250"/>
      <c r="K201" s="310"/>
    </row>
    <row r="202" spans="2:47" s="576" customFormat="1">
      <c r="B202" s="744"/>
      <c r="C202" s="762" t="s">
        <v>637</v>
      </c>
      <c r="D202" s="634" t="s">
        <v>643</v>
      </c>
      <c r="E202" s="763">
        <v>10</v>
      </c>
      <c r="F202" s="576" t="s">
        <v>642</v>
      </c>
      <c r="H202" s="250"/>
      <c r="K202" s="310"/>
    </row>
    <row r="203" spans="2:47" s="576" customFormat="1">
      <c r="B203" s="744"/>
      <c r="C203" s="762" t="s">
        <v>638</v>
      </c>
      <c r="D203" s="634" t="s">
        <v>643</v>
      </c>
      <c r="E203" s="763">
        <v>10</v>
      </c>
      <c r="F203" s="576" t="s">
        <v>642</v>
      </c>
      <c r="H203" s="250"/>
      <c r="K203" s="310"/>
    </row>
    <row r="204" spans="2:47" s="576" customFormat="1" ht="13.5" thickBot="1">
      <c r="C204" s="764" t="s">
        <v>639</v>
      </c>
      <c r="D204" s="756" t="s">
        <v>643</v>
      </c>
      <c r="E204" s="765">
        <v>10</v>
      </c>
      <c r="F204" s="758" t="s">
        <v>642</v>
      </c>
      <c r="G204" s="758"/>
      <c r="H204" s="759"/>
      <c r="K204" s="310"/>
    </row>
    <row r="205" spans="2:47" s="576" customFormat="1">
      <c r="E205" s="574"/>
      <c r="F205" s="577"/>
    </row>
    <row r="206" spans="2:47" s="576" customFormat="1" ht="18" thickBot="1">
      <c r="B206" s="766"/>
      <c r="C206" s="232" t="s">
        <v>376</v>
      </c>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c r="AA206" s="232"/>
      <c r="AB206" s="232"/>
      <c r="AC206" s="232"/>
      <c r="AD206" s="232"/>
      <c r="AE206" s="232"/>
      <c r="AF206" s="232"/>
      <c r="AG206" s="232"/>
      <c r="AH206" s="232"/>
      <c r="AI206" s="232"/>
      <c r="AJ206" s="232"/>
      <c r="AK206" s="232"/>
      <c r="AL206" s="232"/>
      <c r="AM206" s="232"/>
      <c r="AN206" s="232"/>
      <c r="AO206" s="232"/>
      <c r="AP206" s="232"/>
      <c r="AQ206" s="232"/>
      <c r="AR206" s="232"/>
      <c r="AS206" s="232"/>
      <c r="AT206" s="232"/>
      <c r="AU206" s="232"/>
    </row>
    <row r="207" spans="2:47" s="576" customFormat="1" ht="15.75" thickTop="1">
      <c r="B207" s="766"/>
      <c r="C207" s="767"/>
      <c r="D207" s="768"/>
      <c r="E207" s="768"/>
      <c r="F207" s="768"/>
      <c r="G207" s="767">
        <v>2010</v>
      </c>
      <c r="H207" s="767">
        <v>2011</v>
      </c>
      <c r="I207" s="767">
        <v>2012</v>
      </c>
      <c r="J207" s="767">
        <v>2013</v>
      </c>
      <c r="K207" s="767">
        <v>2014</v>
      </c>
      <c r="L207" s="767">
        <v>2015</v>
      </c>
      <c r="M207" s="767">
        <v>2016</v>
      </c>
      <c r="N207" s="767">
        <v>2017</v>
      </c>
      <c r="O207" s="767">
        <v>2018</v>
      </c>
      <c r="P207" s="767">
        <v>2019</v>
      </c>
      <c r="Q207" s="767">
        <v>2020</v>
      </c>
      <c r="R207" s="767">
        <v>2021</v>
      </c>
      <c r="S207" s="767">
        <v>2022</v>
      </c>
      <c r="T207" s="767">
        <v>2023</v>
      </c>
      <c r="U207" s="767">
        <v>2024</v>
      </c>
      <c r="V207" s="767">
        <v>2025</v>
      </c>
      <c r="W207" s="767">
        <v>2026</v>
      </c>
      <c r="X207" s="767">
        <v>2027</v>
      </c>
      <c r="Y207" s="767">
        <v>2028</v>
      </c>
      <c r="Z207" s="767">
        <v>2029</v>
      </c>
      <c r="AA207" s="767">
        <v>2030</v>
      </c>
      <c r="AB207" s="767">
        <v>2031</v>
      </c>
      <c r="AC207" s="767">
        <v>2032</v>
      </c>
      <c r="AD207" s="767">
        <v>2033</v>
      </c>
      <c r="AE207" s="767">
        <v>2034</v>
      </c>
      <c r="AF207" s="767">
        <v>2035</v>
      </c>
      <c r="AG207" s="767">
        <v>2036</v>
      </c>
      <c r="AH207" s="767">
        <v>2037</v>
      </c>
      <c r="AI207" s="767">
        <v>2038</v>
      </c>
      <c r="AJ207" s="767">
        <v>2039</v>
      </c>
      <c r="AK207" s="767">
        <v>2040</v>
      </c>
      <c r="AL207" s="767">
        <v>2041</v>
      </c>
      <c r="AM207" s="767">
        <v>2042</v>
      </c>
      <c r="AN207" s="767">
        <v>2043</v>
      </c>
      <c r="AO207" s="767">
        <v>2044</v>
      </c>
      <c r="AP207" s="767">
        <v>2045</v>
      </c>
      <c r="AQ207" s="767">
        <v>2046</v>
      </c>
      <c r="AR207" s="767">
        <v>2047</v>
      </c>
      <c r="AS207" s="767">
        <v>2048</v>
      </c>
      <c r="AT207" s="767">
        <v>2049</v>
      </c>
      <c r="AU207" s="767">
        <v>2050</v>
      </c>
    </row>
    <row r="208" spans="2:47" s="576" customFormat="1" ht="15">
      <c r="B208" s="766"/>
      <c r="C208" s="769" t="s">
        <v>371</v>
      </c>
      <c r="D208" s="770"/>
      <c r="E208" s="771" t="s">
        <v>372</v>
      </c>
      <c r="F208" s="771" t="s">
        <v>203</v>
      </c>
      <c r="G208" s="772">
        <v>23.1</v>
      </c>
      <c r="H208" s="772">
        <v>27.7</v>
      </c>
      <c r="I208" s="772">
        <v>23.9</v>
      </c>
      <c r="J208" s="772">
        <v>20.3</v>
      </c>
      <c r="K208" s="772">
        <v>17.2</v>
      </c>
      <c r="L208" s="772">
        <v>15.7</v>
      </c>
      <c r="M208" s="772">
        <v>12.2</v>
      </c>
      <c r="N208" s="772">
        <v>11.7</v>
      </c>
      <c r="O208" s="772">
        <v>12.8</v>
      </c>
      <c r="P208" s="773">
        <v>23.406929880021178</v>
      </c>
      <c r="Q208" s="773">
        <v>22.320750500826144</v>
      </c>
      <c r="R208" s="773">
        <v>22.415233779280271</v>
      </c>
      <c r="S208" s="773">
        <v>21.958696459631067</v>
      </c>
      <c r="T208" s="773">
        <v>21.264781225277929</v>
      </c>
      <c r="U208" s="773">
        <v>20.867962592605565</v>
      </c>
      <c r="V208" s="773">
        <v>20.782407107600484</v>
      </c>
      <c r="W208" s="773">
        <v>20.995445244296899</v>
      </c>
      <c r="X208" s="773">
        <v>21.195931843995432</v>
      </c>
      <c r="Y208" s="773">
        <v>21.376250794374826</v>
      </c>
      <c r="Z208" s="773">
        <v>21.548170886437006</v>
      </c>
      <c r="AA208" s="773">
        <v>21.695318201462513</v>
      </c>
      <c r="AB208" s="773">
        <v>21.767199086953433</v>
      </c>
      <c r="AC208" s="773">
        <v>21.825017030148729</v>
      </c>
      <c r="AD208" s="773">
        <v>21.878276139633737</v>
      </c>
      <c r="AE208" s="773">
        <v>21.917992887383534</v>
      </c>
      <c r="AF208" s="773">
        <v>21.9556878669204</v>
      </c>
      <c r="AG208" s="773">
        <v>22.029714738820417</v>
      </c>
      <c r="AH208" s="773">
        <v>22.099296654325173</v>
      </c>
      <c r="AI208" s="773">
        <v>22.153632116105896</v>
      </c>
      <c r="AJ208" s="773">
        <v>22.203402762241502</v>
      </c>
      <c r="AK208" s="773">
        <v>22.241349337329673</v>
      </c>
      <c r="AL208" s="774">
        <f>($AK$216-$AB$216)/10+AK208</f>
        <v>23.041944684591879</v>
      </c>
      <c r="AM208" s="774">
        <f t="shared" ref="AM208:AU212" si="144">($AK$216-$AB$216)/10+AL208</f>
        <v>23.842540031854085</v>
      </c>
      <c r="AN208" s="774">
        <f t="shared" si="144"/>
        <v>24.643135379116291</v>
      </c>
      <c r="AO208" s="774">
        <f t="shared" si="144"/>
        <v>25.443730726378497</v>
      </c>
      <c r="AP208" s="774">
        <f t="shared" si="144"/>
        <v>26.244326073640703</v>
      </c>
      <c r="AQ208" s="774">
        <f t="shared" si="144"/>
        <v>27.044921420902909</v>
      </c>
      <c r="AR208" s="774">
        <f t="shared" si="144"/>
        <v>27.845516768165115</v>
      </c>
      <c r="AS208" s="774">
        <f t="shared" si="144"/>
        <v>28.646112115427321</v>
      </c>
      <c r="AT208" s="774">
        <f t="shared" si="144"/>
        <v>29.446707462689528</v>
      </c>
      <c r="AU208" s="774">
        <f t="shared" si="144"/>
        <v>30.247302809951734</v>
      </c>
    </row>
    <row r="209" spans="2:47" s="576" customFormat="1" ht="15">
      <c r="B209" s="766"/>
      <c r="C209" s="767" t="s">
        <v>146</v>
      </c>
      <c r="D209" s="775"/>
      <c r="E209" s="776" t="s">
        <v>372</v>
      </c>
      <c r="F209" s="776" t="s">
        <v>203</v>
      </c>
      <c r="G209" s="768">
        <v>76.2</v>
      </c>
      <c r="H209" s="768">
        <v>106.1</v>
      </c>
      <c r="I209" s="768">
        <v>112.9</v>
      </c>
      <c r="J209" s="768">
        <v>100.3</v>
      </c>
      <c r="K209" s="768">
        <v>97.3</v>
      </c>
      <c r="L209" s="768">
        <v>62.7</v>
      </c>
      <c r="M209" s="768">
        <v>59.9</v>
      </c>
      <c r="N209" s="768">
        <v>63.9</v>
      </c>
      <c r="O209" s="768">
        <v>63.7</v>
      </c>
      <c r="P209" s="777">
        <v>73.880467131059874</v>
      </c>
      <c r="Q209" s="777">
        <v>75.931459523916047</v>
      </c>
      <c r="R209" s="777">
        <v>77.701364104651802</v>
      </c>
      <c r="S209" s="777">
        <v>79.289025348102882</v>
      </c>
      <c r="T209" s="777">
        <v>81.023644009316811</v>
      </c>
      <c r="U209" s="777">
        <v>82.712910272747436</v>
      </c>
      <c r="V209" s="777">
        <v>84.053105996878713</v>
      </c>
      <c r="W209" s="777">
        <v>86.676571233184688</v>
      </c>
      <c r="X209" s="777">
        <v>88.186071195293991</v>
      </c>
      <c r="Y209" s="777">
        <v>89.586356147981405</v>
      </c>
      <c r="Z209" s="777">
        <v>90.92803677830058</v>
      </c>
      <c r="AA209" s="777">
        <v>92.141387034323401</v>
      </c>
      <c r="AB209" s="777">
        <v>93.692750413107319</v>
      </c>
      <c r="AC209" s="777">
        <v>95.558328708367895</v>
      </c>
      <c r="AD209" s="777">
        <v>97.341047888333435</v>
      </c>
      <c r="AE209" s="777">
        <v>99.002693402790925</v>
      </c>
      <c r="AF209" s="777">
        <v>100.59799469913287</v>
      </c>
      <c r="AG209" s="777">
        <v>102.09020115332861</v>
      </c>
      <c r="AH209" s="777">
        <v>103.53602848432692</v>
      </c>
      <c r="AI209" s="777">
        <v>104.86648319780612</v>
      </c>
      <c r="AJ209" s="777">
        <v>106.13404097693454</v>
      </c>
      <c r="AK209" s="777">
        <v>107.30502693993807</v>
      </c>
      <c r="AL209" s="778">
        <f>($AK$216-$AB$216)/10+AK209</f>
        <v>108.10562228720028</v>
      </c>
      <c r="AM209" s="778">
        <f t="shared" si="144"/>
        <v>108.90621763446248</v>
      </c>
      <c r="AN209" s="778">
        <f t="shared" si="144"/>
        <v>109.70681298172468</v>
      </c>
      <c r="AO209" s="778">
        <f t="shared" si="144"/>
        <v>110.50740832898688</v>
      </c>
      <c r="AP209" s="778">
        <f t="shared" si="144"/>
        <v>111.30800367624909</v>
      </c>
      <c r="AQ209" s="778">
        <f t="shared" si="144"/>
        <v>112.10859902351129</v>
      </c>
      <c r="AR209" s="778">
        <f t="shared" si="144"/>
        <v>112.90919437077349</v>
      </c>
      <c r="AS209" s="778">
        <f t="shared" si="144"/>
        <v>113.70978971803569</v>
      </c>
      <c r="AT209" s="778">
        <f t="shared" si="144"/>
        <v>114.5103850652979</v>
      </c>
      <c r="AU209" s="778">
        <f t="shared" si="144"/>
        <v>115.3109804125601</v>
      </c>
    </row>
    <row r="210" spans="2:47" s="576" customFormat="1" ht="15">
      <c r="B210" s="766"/>
      <c r="C210" s="767" t="s">
        <v>373</v>
      </c>
      <c r="D210" s="775"/>
      <c r="E210" s="776" t="s">
        <v>372</v>
      </c>
      <c r="F210" s="776" t="s">
        <v>203</v>
      </c>
      <c r="G210" s="768">
        <v>92.8</v>
      </c>
      <c r="H210" s="768">
        <v>122.9</v>
      </c>
      <c r="I210" s="768">
        <v>136.69999999999999</v>
      </c>
      <c r="J210" s="768">
        <v>122</v>
      </c>
      <c r="K210" s="768">
        <v>114.8</v>
      </c>
      <c r="L210" s="768">
        <v>78.2</v>
      </c>
      <c r="M210" s="768">
        <v>75.3</v>
      </c>
      <c r="N210" s="768">
        <v>79.400000000000006</v>
      </c>
      <c r="O210" s="768">
        <v>79.3</v>
      </c>
      <c r="P210" s="779">
        <v>95.583697574109408</v>
      </c>
      <c r="Q210" s="779">
        <v>97.634689966965581</v>
      </c>
      <c r="R210" s="779">
        <v>99.404594547701336</v>
      </c>
      <c r="S210" s="779">
        <v>100.99225579115242</v>
      </c>
      <c r="T210" s="779">
        <v>102.72687445236635</v>
      </c>
      <c r="U210" s="779">
        <v>104.41614071579697</v>
      </c>
      <c r="V210" s="779">
        <v>105.75633643992825</v>
      </c>
      <c r="W210" s="779">
        <v>108.37980167623422</v>
      </c>
      <c r="X210" s="779">
        <v>109.88930163834353</v>
      </c>
      <c r="Y210" s="779">
        <v>111.28958659103094</v>
      </c>
      <c r="Z210" s="779">
        <v>112.63126722135011</v>
      </c>
      <c r="AA210" s="779">
        <v>113.84461747737294</v>
      </c>
      <c r="AB210" s="779">
        <v>115.39598085615685</v>
      </c>
      <c r="AC210" s="779">
        <v>117.26155915141743</v>
      </c>
      <c r="AD210" s="779">
        <v>119.04427833138297</v>
      </c>
      <c r="AE210" s="779">
        <v>120.70592384584046</v>
      </c>
      <c r="AF210" s="779">
        <v>122.3012251421824</v>
      </c>
      <c r="AG210" s="779">
        <v>123.79343159637814</v>
      </c>
      <c r="AH210" s="779">
        <v>125.23925892737645</v>
      </c>
      <c r="AI210" s="779">
        <v>126.56971364085565</v>
      </c>
      <c r="AJ210" s="779">
        <v>127.83727141998408</v>
      </c>
      <c r="AK210" s="779">
        <v>129.00825738298761</v>
      </c>
      <c r="AL210" s="780">
        <f>($AK$216-$AB$216)/10+AK210</f>
        <v>129.80885273024981</v>
      </c>
      <c r="AM210" s="780">
        <f t="shared" si="144"/>
        <v>130.60944807751201</v>
      </c>
      <c r="AN210" s="780">
        <f t="shared" si="144"/>
        <v>131.41004342477422</v>
      </c>
      <c r="AO210" s="780">
        <f t="shared" si="144"/>
        <v>132.21063877203642</v>
      </c>
      <c r="AP210" s="780">
        <f t="shared" si="144"/>
        <v>133.01123411929862</v>
      </c>
      <c r="AQ210" s="780">
        <f t="shared" si="144"/>
        <v>133.81182946656082</v>
      </c>
      <c r="AR210" s="780">
        <f t="shared" si="144"/>
        <v>134.61242481382303</v>
      </c>
      <c r="AS210" s="780">
        <f t="shared" si="144"/>
        <v>135.41302016108523</v>
      </c>
      <c r="AT210" s="780">
        <f t="shared" si="144"/>
        <v>136.21361550834743</v>
      </c>
      <c r="AU210" s="780">
        <f t="shared" si="144"/>
        <v>137.01421085560963</v>
      </c>
    </row>
    <row r="211" spans="2:47" s="576" customFormat="1" ht="15">
      <c r="B211" s="766"/>
      <c r="C211" s="767" t="s">
        <v>51</v>
      </c>
      <c r="D211" s="775"/>
      <c r="E211" s="776" t="s">
        <v>372</v>
      </c>
      <c r="F211" s="776" t="s">
        <v>203</v>
      </c>
      <c r="G211" s="768">
        <v>105.4</v>
      </c>
      <c r="H211" s="768">
        <v>117.4</v>
      </c>
      <c r="I211" s="768">
        <v>134.19999999999999</v>
      </c>
      <c r="J211" s="768">
        <v>123.2</v>
      </c>
      <c r="K211" s="768">
        <v>113.5</v>
      </c>
      <c r="L211" s="768">
        <v>77</v>
      </c>
      <c r="M211" s="768">
        <v>74</v>
      </c>
      <c r="N211" s="768">
        <v>78.2</v>
      </c>
      <c r="O211" s="768">
        <v>78</v>
      </c>
      <c r="P211" s="779">
        <v>93.420285058277415</v>
      </c>
      <c r="Q211" s="779">
        <v>95.471277451133588</v>
      </c>
      <c r="R211" s="779">
        <v>97.241182031869343</v>
      </c>
      <c r="S211" s="779">
        <v>98.828843275320423</v>
      </c>
      <c r="T211" s="779">
        <v>100.56346193653435</v>
      </c>
      <c r="U211" s="779">
        <v>102.25272819996498</v>
      </c>
      <c r="V211" s="779">
        <v>103.59292392409625</v>
      </c>
      <c r="W211" s="779">
        <v>106.21638916040223</v>
      </c>
      <c r="X211" s="779">
        <v>107.72588912251153</v>
      </c>
      <c r="Y211" s="779">
        <v>109.12617407519895</v>
      </c>
      <c r="Z211" s="779">
        <v>110.46785470551812</v>
      </c>
      <c r="AA211" s="779">
        <v>111.68120496154094</v>
      </c>
      <c r="AB211" s="779">
        <v>113.23256834032486</v>
      </c>
      <c r="AC211" s="779">
        <v>115.09814663558544</v>
      </c>
      <c r="AD211" s="779">
        <v>116.88086581555098</v>
      </c>
      <c r="AE211" s="779">
        <v>118.54251133000847</v>
      </c>
      <c r="AF211" s="779">
        <v>120.13781262635041</v>
      </c>
      <c r="AG211" s="779">
        <v>121.63001908054615</v>
      </c>
      <c r="AH211" s="779">
        <v>123.07584641154446</v>
      </c>
      <c r="AI211" s="779">
        <v>124.40630112502366</v>
      </c>
      <c r="AJ211" s="779">
        <v>125.67385890415208</v>
      </c>
      <c r="AK211" s="779">
        <v>126.84484486715562</v>
      </c>
      <c r="AL211" s="780">
        <f>($AK$216-$AB$216)/10+AK211</f>
        <v>127.64544021441782</v>
      </c>
      <c r="AM211" s="780">
        <f t="shared" si="144"/>
        <v>128.44603556168002</v>
      </c>
      <c r="AN211" s="780">
        <f t="shared" si="144"/>
        <v>129.24663090894222</v>
      </c>
      <c r="AO211" s="780">
        <f t="shared" si="144"/>
        <v>130.04722625620442</v>
      </c>
      <c r="AP211" s="780">
        <f t="shared" si="144"/>
        <v>130.84782160346663</v>
      </c>
      <c r="AQ211" s="780">
        <f t="shared" si="144"/>
        <v>131.64841695072883</v>
      </c>
      <c r="AR211" s="780">
        <f t="shared" si="144"/>
        <v>132.44901229799103</v>
      </c>
      <c r="AS211" s="780">
        <f t="shared" si="144"/>
        <v>133.24960764525323</v>
      </c>
      <c r="AT211" s="780">
        <f t="shared" si="144"/>
        <v>134.05020299251544</v>
      </c>
      <c r="AU211" s="780">
        <f t="shared" si="144"/>
        <v>134.85079833977764</v>
      </c>
    </row>
    <row r="212" spans="2:47" s="576" customFormat="1" ht="15">
      <c r="B212" s="766"/>
      <c r="C212" s="767" t="s">
        <v>204</v>
      </c>
      <c r="D212" s="775"/>
      <c r="E212" s="776" t="s">
        <v>372</v>
      </c>
      <c r="F212" s="776" t="s">
        <v>203</v>
      </c>
      <c r="G212" s="768">
        <v>76.5</v>
      </c>
      <c r="H212" s="768">
        <v>112.4</v>
      </c>
      <c r="I212" s="768">
        <v>116.3</v>
      </c>
      <c r="J212" s="768">
        <v>118.6</v>
      </c>
      <c r="K212" s="768">
        <v>110.1</v>
      </c>
      <c r="L212" s="768">
        <v>73.5</v>
      </c>
      <c r="M212" s="768">
        <v>70.599999999999994</v>
      </c>
      <c r="N212" s="768">
        <v>74.7</v>
      </c>
      <c r="O212" s="768">
        <v>74.599999999999994</v>
      </c>
      <c r="P212" s="779">
        <v>90.831954056376134</v>
      </c>
      <c r="Q212" s="779">
        <v>92.882946449232307</v>
      </c>
      <c r="R212" s="779">
        <v>94.652851029968062</v>
      </c>
      <c r="S212" s="779">
        <v>96.240512273419142</v>
      </c>
      <c r="T212" s="779">
        <v>97.975130934633071</v>
      </c>
      <c r="U212" s="779">
        <v>99.664397198063696</v>
      </c>
      <c r="V212" s="779">
        <v>101.00459292219497</v>
      </c>
      <c r="W212" s="779">
        <v>103.62805815850095</v>
      </c>
      <c r="X212" s="779">
        <v>105.13755812061025</v>
      </c>
      <c r="Y212" s="779">
        <v>106.53784307329767</v>
      </c>
      <c r="Z212" s="779">
        <v>107.87952370361684</v>
      </c>
      <c r="AA212" s="779">
        <v>109.09287395963966</v>
      </c>
      <c r="AB212" s="779">
        <v>110.64423733842358</v>
      </c>
      <c r="AC212" s="779">
        <v>112.50981563368416</v>
      </c>
      <c r="AD212" s="779">
        <v>114.2925348136497</v>
      </c>
      <c r="AE212" s="779">
        <v>115.95418032810719</v>
      </c>
      <c r="AF212" s="779">
        <v>117.54948162444913</v>
      </c>
      <c r="AG212" s="779">
        <v>119.04168807864487</v>
      </c>
      <c r="AH212" s="779">
        <v>120.48751540964318</v>
      </c>
      <c r="AI212" s="779">
        <v>121.81797012312238</v>
      </c>
      <c r="AJ212" s="779">
        <v>123.0855279022508</v>
      </c>
      <c r="AK212" s="779">
        <v>124.25651386525433</v>
      </c>
      <c r="AL212" s="780">
        <f>($AK$216-$AB$216)/10+AK212</f>
        <v>125.05710921251654</v>
      </c>
      <c r="AM212" s="780">
        <f t="shared" si="144"/>
        <v>125.85770455977874</v>
      </c>
      <c r="AN212" s="780">
        <f t="shared" si="144"/>
        <v>126.65829990704094</v>
      </c>
      <c r="AO212" s="780">
        <f t="shared" si="144"/>
        <v>127.45889525430314</v>
      </c>
      <c r="AP212" s="780">
        <f t="shared" si="144"/>
        <v>128.25949060156535</v>
      </c>
      <c r="AQ212" s="780">
        <f t="shared" si="144"/>
        <v>129.06008594882755</v>
      </c>
      <c r="AR212" s="780">
        <f t="shared" si="144"/>
        <v>129.86068129608975</v>
      </c>
      <c r="AS212" s="780">
        <f t="shared" si="144"/>
        <v>130.66127664335195</v>
      </c>
      <c r="AT212" s="780">
        <f t="shared" si="144"/>
        <v>131.46187199061416</v>
      </c>
      <c r="AU212" s="780">
        <f t="shared" si="144"/>
        <v>132.26246733787636</v>
      </c>
    </row>
    <row r="213" spans="2:47" s="576" customFormat="1" ht="15">
      <c r="B213" s="766"/>
      <c r="C213" s="767" t="s">
        <v>205</v>
      </c>
      <c r="D213" s="775"/>
      <c r="E213" s="776" t="s">
        <v>372</v>
      </c>
      <c r="F213" s="776" t="s">
        <v>203</v>
      </c>
      <c r="G213" s="768">
        <v>110.4</v>
      </c>
      <c r="H213" s="768">
        <v>120.9</v>
      </c>
      <c r="I213" s="768">
        <v>127.5</v>
      </c>
      <c r="J213" s="768">
        <v>123.2</v>
      </c>
      <c r="K213" s="768">
        <v>113.5</v>
      </c>
      <c r="L213" s="768">
        <v>77</v>
      </c>
      <c r="M213" s="768">
        <v>74</v>
      </c>
      <c r="N213" s="768">
        <v>78.2</v>
      </c>
      <c r="O213" s="768">
        <v>78</v>
      </c>
      <c r="P213" s="768">
        <v>76.400000000000006</v>
      </c>
      <c r="Q213" s="768">
        <v>74.2</v>
      </c>
      <c r="R213" s="768">
        <v>74.099999999999994</v>
      </c>
      <c r="S213" s="768">
        <v>74.599999999999994</v>
      </c>
      <c r="T213" s="768">
        <v>76.3</v>
      </c>
      <c r="U213" s="768">
        <v>77.900000000000006</v>
      </c>
      <c r="V213" s="768">
        <v>79.5</v>
      </c>
      <c r="W213" s="768">
        <v>81</v>
      </c>
      <c r="X213" s="768">
        <v>82.4</v>
      </c>
      <c r="Y213" s="768">
        <v>83.7</v>
      </c>
      <c r="Z213" s="768">
        <v>84.9</v>
      </c>
      <c r="AA213" s="768">
        <v>86.1</v>
      </c>
      <c r="AB213" s="768">
        <v>88</v>
      </c>
      <c r="AC213" s="768">
        <v>89.9</v>
      </c>
      <c r="AD213" s="768">
        <v>91.6</v>
      </c>
      <c r="AE213" s="768">
        <v>93.2</v>
      </c>
      <c r="AF213" s="768">
        <v>94.8</v>
      </c>
      <c r="AG213" s="768">
        <v>96.2</v>
      </c>
      <c r="AH213" s="768">
        <v>97.6</v>
      </c>
      <c r="AI213" s="768">
        <v>98.9</v>
      </c>
      <c r="AJ213" s="768">
        <v>100.2</v>
      </c>
      <c r="AK213" s="768">
        <v>101.3</v>
      </c>
      <c r="AL213" s="768">
        <v>103</v>
      </c>
      <c r="AM213" s="768">
        <v>104.6</v>
      </c>
      <c r="AN213" s="768">
        <v>106.1</v>
      </c>
      <c r="AO213" s="768">
        <v>107.5</v>
      </c>
      <c r="AP213" s="768">
        <v>108.8</v>
      </c>
      <c r="AQ213" s="768">
        <v>110.4</v>
      </c>
      <c r="AR213" s="768">
        <v>111.9</v>
      </c>
      <c r="AS213" s="768">
        <v>113.3</v>
      </c>
      <c r="AT213" s="768">
        <v>114.6</v>
      </c>
      <c r="AU213" s="768">
        <v>115.8</v>
      </c>
    </row>
    <row r="214" spans="2:47" s="576" customFormat="1" ht="15">
      <c r="B214" s="766"/>
      <c r="C214" s="767" t="s">
        <v>206</v>
      </c>
      <c r="D214" s="775"/>
      <c r="E214" s="776" t="s">
        <v>372</v>
      </c>
      <c r="F214" s="776" t="s">
        <v>203</v>
      </c>
      <c r="G214" s="768">
        <v>105.4</v>
      </c>
      <c r="H214" s="768">
        <v>117.4</v>
      </c>
      <c r="I214" s="768">
        <v>134.19999999999999</v>
      </c>
      <c r="J214" s="768">
        <v>123.2</v>
      </c>
      <c r="K214" s="768">
        <v>113.5</v>
      </c>
      <c r="L214" s="768">
        <v>77</v>
      </c>
      <c r="M214" s="768">
        <v>74</v>
      </c>
      <c r="N214" s="768">
        <v>78.2</v>
      </c>
      <c r="O214" s="768">
        <v>78</v>
      </c>
      <c r="P214" s="768">
        <v>76.400000000000006</v>
      </c>
      <c r="Q214" s="768">
        <v>74.2</v>
      </c>
      <c r="R214" s="768">
        <v>74.099999999999994</v>
      </c>
      <c r="S214" s="768">
        <v>74.599999999999994</v>
      </c>
      <c r="T214" s="768">
        <v>76.3</v>
      </c>
      <c r="U214" s="768">
        <v>77.900000000000006</v>
      </c>
      <c r="V214" s="768">
        <v>79.5</v>
      </c>
      <c r="W214" s="768">
        <v>81</v>
      </c>
      <c r="X214" s="768">
        <v>82.4</v>
      </c>
      <c r="Y214" s="768">
        <v>83.7</v>
      </c>
      <c r="Z214" s="768">
        <v>84.9</v>
      </c>
      <c r="AA214" s="768">
        <v>86.1</v>
      </c>
      <c r="AB214" s="768">
        <v>88</v>
      </c>
      <c r="AC214" s="768">
        <v>89.9</v>
      </c>
      <c r="AD214" s="768">
        <v>91.6</v>
      </c>
      <c r="AE214" s="768">
        <v>93.2</v>
      </c>
      <c r="AF214" s="768">
        <v>94.8</v>
      </c>
      <c r="AG214" s="768">
        <v>96.2</v>
      </c>
      <c r="AH214" s="768">
        <v>97.6</v>
      </c>
      <c r="AI214" s="768">
        <v>98.9</v>
      </c>
      <c r="AJ214" s="768">
        <v>100.2</v>
      </c>
      <c r="AK214" s="768">
        <v>101.3</v>
      </c>
      <c r="AL214" s="768">
        <v>103</v>
      </c>
      <c r="AM214" s="768">
        <v>104.6</v>
      </c>
      <c r="AN214" s="768">
        <v>106.1</v>
      </c>
      <c r="AO214" s="768">
        <v>107.5</v>
      </c>
      <c r="AP214" s="768">
        <v>108.8</v>
      </c>
      <c r="AQ214" s="768">
        <v>110.4</v>
      </c>
      <c r="AR214" s="768">
        <v>111.9</v>
      </c>
      <c r="AS214" s="768">
        <v>113.3</v>
      </c>
      <c r="AT214" s="768">
        <v>114.6</v>
      </c>
      <c r="AU214" s="768">
        <v>115.8</v>
      </c>
    </row>
    <row r="215" spans="2:47" s="576" customFormat="1" ht="15">
      <c r="B215" s="766"/>
      <c r="C215" s="781" t="s">
        <v>103</v>
      </c>
      <c r="D215" s="782"/>
      <c r="E215" s="783" t="s">
        <v>372</v>
      </c>
      <c r="F215" s="783" t="s">
        <v>203</v>
      </c>
      <c r="G215" s="784">
        <v>68.2</v>
      </c>
      <c r="H215" s="784">
        <v>102</v>
      </c>
      <c r="I215" s="784">
        <v>96.2</v>
      </c>
      <c r="J215" s="784">
        <v>91.7</v>
      </c>
      <c r="K215" s="784">
        <v>84</v>
      </c>
      <c r="L215" s="784">
        <v>47.5</v>
      </c>
      <c r="M215" s="784">
        <v>44.5</v>
      </c>
      <c r="N215" s="784">
        <v>48.7</v>
      </c>
      <c r="O215" s="784">
        <v>48.5</v>
      </c>
      <c r="P215" s="784">
        <v>46.9</v>
      </c>
      <c r="Q215" s="784">
        <v>44.7</v>
      </c>
      <c r="R215" s="784">
        <v>44.6</v>
      </c>
      <c r="S215" s="784">
        <v>45.1</v>
      </c>
      <c r="T215" s="784">
        <v>46.8</v>
      </c>
      <c r="U215" s="784">
        <v>48.4</v>
      </c>
      <c r="V215" s="784">
        <v>50</v>
      </c>
      <c r="W215" s="784">
        <v>51.5</v>
      </c>
      <c r="X215" s="784">
        <v>52.9</v>
      </c>
      <c r="Y215" s="784">
        <v>54.2</v>
      </c>
      <c r="Z215" s="784">
        <v>55.4</v>
      </c>
      <c r="AA215" s="784">
        <v>56.6</v>
      </c>
      <c r="AB215" s="784">
        <v>58.5</v>
      </c>
      <c r="AC215" s="784">
        <v>60.4</v>
      </c>
      <c r="AD215" s="784">
        <v>62.1</v>
      </c>
      <c r="AE215" s="784">
        <v>63.7</v>
      </c>
      <c r="AF215" s="784">
        <v>65.3</v>
      </c>
      <c r="AG215" s="784">
        <v>66.7</v>
      </c>
      <c r="AH215" s="784">
        <v>68.099999999999994</v>
      </c>
      <c r="AI215" s="784">
        <v>69.400000000000006</v>
      </c>
      <c r="AJ215" s="784">
        <v>70.7</v>
      </c>
      <c r="AK215" s="784">
        <v>71.8</v>
      </c>
      <c r="AL215" s="784">
        <v>73.5</v>
      </c>
      <c r="AM215" s="784">
        <v>75.099999999999994</v>
      </c>
      <c r="AN215" s="784">
        <v>76.599999999999994</v>
      </c>
      <c r="AO215" s="784">
        <v>78</v>
      </c>
      <c r="AP215" s="784">
        <v>79.3</v>
      </c>
      <c r="AQ215" s="784">
        <v>80.900000000000006</v>
      </c>
      <c r="AR215" s="784">
        <v>82.4</v>
      </c>
      <c r="AS215" s="784">
        <v>83.8</v>
      </c>
      <c r="AT215" s="784">
        <v>85.1</v>
      </c>
      <c r="AU215" s="784">
        <v>86.3</v>
      </c>
    </row>
    <row r="216" spans="2:47" s="576" customFormat="1" ht="15">
      <c r="B216" s="766"/>
      <c r="C216" s="781" t="s">
        <v>374</v>
      </c>
      <c r="D216" s="782"/>
      <c r="E216" s="783" t="s">
        <v>372</v>
      </c>
      <c r="F216" s="783" t="s">
        <v>203</v>
      </c>
      <c r="G216" s="784">
        <v>44.4</v>
      </c>
      <c r="H216" s="784">
        <v>46.1</v>
      </c>
      <c r="I216" s="784">
        <v>55.1</v>
      </c>
      <c r="J216" s="784">
        <v>54.2</v>
      </c>
      <c r="K216" s="784">
        <v>45.7</v>
      </c>
      <c r="L216" s="784">
        <v>44</v>
      </c>
      <c r="M216" s="784">
        <v>36.799999999999997</v>
      </c>
      <c r="N216" s="784">
        <v>36.9</v>
      </c>
      <c r="O216" s="784">
        <v>35.1</v>
      </c>
      <c r="P216" s="785">
        <v>53.94529046338949</v>
      </c>
      <c r="Q216" s="785">
        <v>48.049648253621314</v>
      </c>
      <c r="R216" s="785">
        <v>40.610335042675715</v>
      </c>
      <c r="S216" s="785">
        <v>40.251302428954361</v>
      </c>
      <c r="T216" s="785">
        <v>41.309391764519106</v>
      </c>
      <c r="U216" s="785">
        <v>42.384105929912252</v>
      </c>
      <c r="V216" s="785">
        <v>43.418156429745736</v>
      </c>
      <c r="W216" s="785">
        <v>44.641031928073701</v>
      </c>
      <c r="X216" s="785">
        <v>45.825085716990088</v>
      </c>
      <c r="Y216" s="785">
        <v>46.950294651080164</v>
      </c>
      <c r="Z216" s="785">
        <v>48.047984271449039</v>
      </c>
      <c r="AA216" s="785">
        <v>49.074729484141251</v>
      </c>
      <c r="AB216" s="785">
        <v>50.22027708112531</v>
      </c>
      <c r="AC216" s="785">
        <v>51.310437783572709</v>
      </c>
      <c r="AD216" s="785">
        <v>52.371455269436716</v>
      </c>
      <c r="AE216" s="785">
        <v>53.379487378305292</v>
      </c>
      <c r="AF216" s="785">
        <v>54.366646432213557</v>
      </c>
      <c r="AG216" s="785">
        <v>56.021566478043873</v>
      </c>
      <c r="AH216" s="785">
        <v>56.643484305507364</v>
      </c>
      <c r="AI216" s="785">
        <v>57.206292482675018</v>
      </c>
      <c r="AJ216" s="785">
        <v>57.740541471904386</v>
      </c>
      <c r="AK216" s="785">
        <v>58.226230553747364</v>
      </c>
      <c r="AL216" s="786">
        <f>($AK$216-$AB$216)/10+AK216</f>
        <v>59.026825901009566</v>
      </c>
      <c r="AM216" s="786">
        <f t="shared" ref="AM216:AU216" si="145">($AK$216-$AB$216)/10+AL216</f>
        <v>59.827421248271769</v>
      </c>
      <c r="AN216" s="786">
        <f t="shared" si="145"/>
        <v>60.628016595533971</v>
      </c>
      <c r="AO216" s="786">
        <f t="shared" si="145"/>
        <v>61.428611942796174</v>
      </c>
      <c r="AP216" s="786">
        <f t="shared" si="145"/>
        <v>62.229207290058376</v>
      </c>
      <c r="AQ216" s="786">
        <f t="shared" si="145"/>
        <v>63.029802637320579</v>
      </c>
      <c r="AR216" s="786">
        <f t="shared" si="145"/>
        <v>63.830397984582781</v>
      </c>
      <c r="AS216" s="786">
        <f t="shared" si="145"/>
        <v>64.630993331844991</v>
      </c>
      <c r="AT216" s="786">
        <f t="shared" si="145"/>
        <v>65.431588679107193</v>
      </c>
      <c r="AU216" s="786">
        <f t="shared" si="145"/>
        <v>66.232184026369396</v>
      </c>
    </row>
    <row r="217" spans="2:47" s="576" customFormat="1">
      <c r="B217" s="766"/>
      <c r="C217" s="787" t="s">
        <v>711</v>
      </c>
      <c r="D217" s="766"/>
      <c r="E217" s="766"/>
      <c r="F217" s="766"/>
      <c r="G217" s="766"/>
      <c r="H217" s="766"/>
      <c r="I217" s="766"/>
      <c r="J217" s="766"/>
      <c r="K217" s="766"/>
      <c r="L217" s="766"/>
      <c r="M217" s="766"/>
      <c r="N217" s="766"/>
      <c r="O217" s="766"/>
      <c r="P217" s="766"/>
      <c r="Q217" s="766"/>
      <c r="R217" s="766"/>
      <c r="S217" s="766"/>
      <c r="T217" s="766"/>
      <c r="U217" s="766"/>
      <c r="V217" s="766"/>
      <c r="W217" s="766"/>
      <c r="X217" s="766"/>
      <c r="Y217" s="766"/>
      <c r="Z217" s="766"/>
      <c r="AA217" s="766"/>
      <c r="AB217" s="766"/>
      <c r="AC217" s="766"/>
      <c r="AD217" s="766"/>
      <c r="AE217" s="766"/>
      <c r="AF217" s="766"/>
      <c r="AG217" s="766"/>
      <c r="AH217" s="766"/>
      <c r="AI217" s="766"/>
      <c r="AJ217" s="766"/>
      <c r="AK217" s="766"/>
      <c r="AL217" s="766"/>
      <c r="AM217" s="766"/>
      <c r="AN217" s="766"/>
      <c r="AO217" s="766"/>
      <c r="AP217" s="766"/>
      <c r="AQ217" s="766"/>
      <c r="AR217" s="766"/>
      <c r="AS217" s="766"/>
      <c r="AT217" s="766"/>
      <c r="AU217" s="766"/>
    </row>
    <row r="218" spans="2:47" s="576" customFormat="1">
      <c r="B218" s="766"/>
      <c r="C218" s="787" t="s">
        <v>716</v>
      </c>
      <c r="D218" s="766"/>
      <c r="E218" s="766"/>
      <c r="F218" s="766"/>
      <c r="G218" s="766"/>
      <c r="H218" s="766"/>
      <c r="I218" s="766"/>
      <c r="J218" s="766"/>
      <c r="K218" s="766"/>
      <c r="L218" s="766"/>
      <c r="M218" s="766"/>
      <c r="N218" s="766"/>
      <c r="O218" s="766"/>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6"/>
      <c r="AM218" s="766"/>
      <c r="AN218" s="766"/>
      <c r="AO218" s="766"/>
      <c r="AP218" s="766"/>
      <c r="AQ218" s="766"/>
      <c r="AR218" s="766"/>
      <c r="AS218" s="766"/>
      <c r="AT218" s="766"/>
      <c r="AU218" s="766"/>
    </row>
    <row r="219" spans="2:47" s="576" customFormat="1">
      <c r="B219" s="766"/>
      <c r="C219" s="787" t="s">
        <v>715</v>
      </c>
      <c r="D219" s="766"/>
      <c r="E219" s="766"/>
      <c r="F219" s="766"/>
      <c r="G219" s="766"/>
      <c r="H219" s="766"/>
      <c r="I219" s="766"/>
      <c r="J219" s="766"/>
      <c r="K219" s="766"/>
      <c r="L219" s="766"/>
      <c r="M219" s="766"/>
      <c r="N219" s="766"/>
      <c r="O219" s="766"/>
      <c r="P219" s="766"/>
      <c r="Q219" s="766"/>
      <c r="R219" s="766"/>
      <c r="S219" s="766"/>
      <c r="T219" s="766"/>
      <c r="U219" s="766"/>
      <c r="V219" s="766"/>
      <c r="W219" s="766"/>
      <c r="X219" s="766"/>
      <c r="Y219" s="766"/>
      <c r="Z219" s="766"/>
      <c r="AA219" s="766"/>
      <c r="AB219" s="766"/>
      <c r="AC219" s="766"/>
      <c r="AD219" s="766"/>
      <c r="AE219" s="766"/>
      <c r="AF219" s="766"/>
      <c r="AG219" s="766"/>
      <c r="AH219" s="766"/>
      <c r="AI219" s="766"/>
      <c r="AJ219" s="766"/>
      <c r="AK219" s="766"/>
      <c r="AL219" s="766"/>
      <c r="AM219" s="766"/>
      <c r="AN219" s="766"/>
      <c r="AO219" s="766"/>
      <c r="AP219" s="766"/>
      <c r="AQ219" s="766"/>
      <c r="AR219" s="766"/>
      <c r="AS219" s="766"/>
      <c r="AT219" s="766"/>
      <c r="AU219" s="766"/>
    </row>
    <row r="220" spans="2:47" s="576" customFormat="1">
      <c r="E220" s="574"/>
      <c r="F220" s="577"/>
    </row>
    <row r="221" spans="2:47" s="576" customFormat="1" ht="20.25" thickBot="1">
      <c r="C221" s="235" t="s">
        <v>314</v>
      </c>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c r="AJ221" s="235"/>
      <c r="AK221" s="235"/>
      <c r="AL221" s="235"/>
      <c r="AM221" s="235"/>
      <c r="AN221" s="235"/>
      <c r="AO221" s="235"/>
      <c r="AP221" s="235"/>
      <c r="AQ221" s="235"/>
      <c r="AR221" s="235"/>
      <c r="AS221" s="235"/>
      <c r="AT221" s="235"/>
      <c r="AU221" s="235"/>
    </row>
    <row r="222" spans="2:47" s="576" customFormat="1" ht="18.75" thickTop="1" thickBot="1">
      <c r="C222" s="232" t="s">
        <v>300</v>
      </c>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232"/>
      <c r="AC222" s="232"/>
      <c r="AD222" s="232"/>
      <c r="AE222" s="232"/>
      <c r="AF222" s="232"/>
      <c r="AG222" s="232"/>
      <c r="AH222" s="232"/>
      <c r="AI222" s="232"/>
      <c r="AJ222" s="232"/>
      <c r="AK222" s="232"/>
      <c r="AL222" s="232"/>
      <c r="AM222" s="232"/>
      <c r="AN222" s="232"/>
      <c r="AO222" s="232"/>
      <c r="AP222" s="232"/>
      <c r="AQ222" s="232"/>
      <c r="AR222" s="232"/>
      <c r="AS222" s="232"/>
      <c r="AT222" s="232"/>
      <c r="AU222" s="232"/>
    </row>
    <row r="223" spans="2:47" s="576" customFormat="1" ht="15.75" thickTop="1">
      <c r="C223" s="233" t="s">
        <v>301</v>
      </c>
      <c r="D223" s="233"/>
      <c r="E223" s="233"/>
      <c r="F223" s="233"/>
      <c r="G223" s="788">
        <v>2010</v>
      </c>
      <c r="H223" s="788">
        <v>2011</v>
      </c>
      <c r="I223" s="234">
        <v>2012</v>
      </c>
      <c r="J223" s="234">
        <v>2013</v>
      </c>
      <c r="K223" s="234">
        <v>2014</v>
      </c>
      <c r="L223" s="234">
        <v>2015</v>
      </c>
      <c r="M223" s="234">
        <v>2016</v>
      </c>
      <c r="N223" s="234">
        <v>2017</v>
      </c>
      <c r="O223" s="234">
        <v>2018</v>
      </c>
      <c r="P223" s="234">
        <v>2019</v>
      </c>
      <c r="Q223" s="234">
        <v>2020</v>
      </c>
      <c r="R223" s="234">
        <v>2021</v>
      </c>
      <c r="S223" s="234">
        <v>2022</v>
      </c>
      <c r="T223" s="234">
        <v>2023</v>
      </c>
      <c r="U223" s="234">
        <v>2024</v>
      </c>
      <c r="V223" s="234">
        <v>2025</v>
      </c>
      <c r="W223" s="234">
        <v>2026</v>
      </c>
      <c r="X223" s="234">
        <v>2027</v>
      </c>
      <c r="Y223" s="234">
        <v>2028</v>
      </c>
      <c r="Z223" s="234">
        <v>2029</v>
      </c>
      <c r="AA223" s="234">
        <v>2030</v>
      </c>
      <c r="AB223" s="234">
        <v>2031</v>
      </c>
      <c r="AC223" s="234">
        <v>2032</v>
      </c>
      <c r="AD223" s="234">
        <v>2033</v>
      </c>
      <c r="AE223" s="234">
        <v>2034</v>
      </c>
      <c r="AF223" s="234">
        <v>2035</v>
      </c>
      <c r="AG223" s="234">
        <v>2036</v>
      </c>
      <c r="AH223" s="234">
        <v>2037</v>
      </c>
      <c r="AI223" s="234">
        <v>2038</v>
      </c>
      <c r="AJ223" s="234">
        <v>2039</v>
      </c>
      <c r="AK223" s="234">
        <v>2040</v>
      </c>
      <c r="AL223" s="234">
        <v>2041</v>
      </c>
      <c r="AM223" s="234">
        <v>2042</v>
      </c>
      <c r="AN223" s="234">
        <v>2043</v>
      </c>
      <c r="AO223" s="234">
        <v>2044</v>
      </c>
      <c r="AP223" s="234">
        <v>2045</v>
      </c>
      <c r="AQ223" s="234">
        <v>2046</v>
      </c>
      <c r="AR223" s="234">
        <v>2047</v>
      </c>
      <c r="AS223" s="234">
        <v>2048</v>
      </c>
      <c r="AT223" s="234">
        <v>2049</v>
      </c>
      <c r="AU223" s="234">
        <v>2050</v>
      </c>
    </row>
    <row r="224" spans="2:47" s="576" customFormat="1" ht="15">
      <c r="B224" s="634"/>
      <c r="D224" s="576" t="s">
        <v>302</v>
      </c>
      <c r="E224" s="236">
        <v>2014</v>
      </c>
      <c r="F224" s="577" t="s">
        <v>457</v>
      </c>
      <c r="G224" s="789">
        <f>I224</f>
        <v>46</v>
      </c>
      <c r="H224" s="789">
        <f>I224</f>
        <v>46</v>
      </c>
      <c r="I224" s="237">
        <v>46</v>
      </c>
      <c r="J224" s="237">
        <v>45.7</v>
      </c>
      <c r="K224" s="237">
        <v>45.3</v>
      </c>
      <c r="L224" s="237">
        <v>44.9</v>
      </c>
      <c r="M224" s="237">
        <v>45.4</v>
      </c>
      <c r="N224" s="237">
        <v>45.9</v>
      </c>
      <c r="O224" s="237">
        <v>46.5</v>
      </c>
      <c r="P224" s="790">
        <v>43.426265623811808</v>
      </c>
      <c r="Q224" s="790">
        <v>43.65253654619243</v>
      </c>
      <c r="R224" s="790">
        <v>43.928999158791825</v>
      </c>
      <c r="S224" s="790">
        <v>44.205082849585672</v>
      </c>
      <c r="T224" s="790">
        <v>44.480789827031863</v>
      </c>
      <c r="U224" s="790">
        <v>44.75612229958827</v>
      </c>
      <c r="V224" s="790">
        <v>45.031082475712807</v>
      </c>
      <c r="W224" s="790">
        <v>45.279976467601358</v>
      </c>
      <c r="X224" s="790">
        <v>45.528796659727412</v>
      </c>
      <c r="Y224" s="790">
        <v>45.777543052090969</v>
      </c>
      <c r="Z224" s="790">
        <v>46.02621564469203</v>
      </c>
      <c r="AA224" s="790">
        <v>46.274814437530587</v>
      </c>
      <c r="AB224" s="790">
        <v>46.428246784204831</v>
      </c>
      <c r="AC224" s="790">
        <v>46.581596106146264</v>
      </c>
      <c r="AD224" s="790">
        <v>46.73486240335491</v>
      </c>
      <c r="AE224" s="790">
        <v>46.888045675830739</v>
      </c>
      <c r="AF224" s="790">
        <v>47.041145923573744</v>
      </c>
      <c r="AG224" s="790">
        <v>47.184184641373889</v>
      </c>
      <c r="AH224" s="790">
        <v>47.327158784381858</v>
      </c>
      <c r="AI224" s="790">
        <v>47.470068352597629</v>
      </c>
      <c r="AJ224" s="790">
        <v>47.612913346021223</v>
      </c>
      <c r="AK224" s="790">
        <v>47.755693764652648</v>
      </c>
      <c r="AL224" s="780">
        <f>($AK$216-$AB$216)/10+AK224</f>
        <v>48.55628911191485</v>
      </c>
      <c r="AM224" s="780">
        <f t="shared" ref="AM224:AU224" si="146">($AK$216-$AB$216)/10+AL224</f>
        <v>49.356884459177053</v>
      </c>
      <c r="AN224" s="780">
        <f t="shared" si="146"/>
        <v>50.157479806439255</v>
      </c>
      <c r="AO224" s="780">
        <f t="shared" si="146"/>
        <v>50.958075153701458</v>
      </c>
      <c r="AP224" s="780">
        <f t="shared" si="146"/>
        <v>51.75867050096366</v>
      </c>
      <c r="AQ224" s="780">
        <f t="shared" si="146"/>
        <v>52.559265848225863</v>
      </c>
      <c r="AR224" s="780">
        <f t="shared" si="146"/>
        <v>53.359861195488065</v>
      </c>
      <c r="AS224" s="780">
        <f t="shared" si="146"/>
        <v>54.160456542750268</v>
      </c>
      <c r="AT224" s="780">
        <f t="shared" si="146"/>
        <v>54.96105189001247</v>
      </c>
      <c r="AU224" s="780">
        <f t="shared" si="146"/>
        <v>55.761647237274673</v>
      </c>
    </row>
    <row r="225" spans="2:47" s="576" customFormat="1" ht="15">
      <c r="D225" s="576" t="s">
        <v>377</v>
      </c>
      <c r="E225" s="236">
        <v>2014</v>
      </c>
      <c r="F225" s="577" t="s">
        <v>457</v>
      </c>
      <c r="G225" s="789">
        <f t="shared" ref="G225:G237" si="147">I225</f>
        <v>41</v>
      </c>
      <c r="H225" s="789">
        <f t="shared" ref="H225:H237" si="148">I225</f>
        <v>41</v>
      </c>
      <c r="I225" s="237">
        <v>41</v>
      </c>
      <c r="J225" s="237">
        <v>41.1</v>
      </c>
      <c r="K225" s="237">
        <v>41.2</v>
      </c>
      <c r="L225" s="237">
        <v>41.4</v>
      </c>
      <c r="M225" s="237">
        <v>41.6</v>
      </c>
      <c r="N225" s="237">
        <v>41.8</v>
      </c>
      <c r="O225" s="237">
        <v>42</v>
      </c>
      <c r="P225" s="237">
        <v>42.2</v>
      </c>
      <c r="Q225" s="237">
        <v>42.4</v>
      </c>
      <c r="R225" s="237">
        <v>42.7</v>
      </c>
      <c r="S225" s="237">
        <v>42.9</v>
      </c>
      <c r="T225" s="237">
        <v>43.2</v>
      </c>
      <c r="U225" s="237">
        <v>43.4</v>
      </c>
      <c r="V225" s="237">
        <v>43.7</v>
      </c>
      <c r="W225" s="237">
        <v>43.9</v>
      </c>
      <c r="X225" s="237">
        <v>44.1</v>
      </c>
      <c r="Y225" s="237">
        <v>44.4</v>
      </c>
      <c r="Z225" s="237">
        <v>44.6</v>
      </c>
      <c r="AA225" s="237">
        <v>44.8</v>
      </c>
      <c r="AB225" s="237">
        <v>45</v>
      </c>
      <c r="AC225" s="237">
        <v>45.1</v>
      </c>
      <c r="AD225" s="237">
        <v>45.2</v>
      </c>
      <c r="AE225" s="237">
        <v>45.4</v>
      </c>
      <c r="AF225" s="237">
        <v>45.5</v>
      </c>
      <c r="AG225" s="237">
        <v>45.6</v>
      </c>
      <c r="AH225" s="237">
        <v>45.8</v>
      </c>
      <c r="AI225" s="237">
        <v>45.9</v>
      </c>
      <c r="AJ225" s="237">
        <v>46</v>
      </c>
      <c r="AK225" s="237">
        <v>46.1</v>
      </c>
      <c r="AL225" s="237">
        <v>46.3</v>
      </c>
      <c r="AM225" s="237">
        <v>46.4</v>
      </c>
      <c r="AN225" s="237">
        <v>46.6</v>
      </c>
      <c r="AO225" s="237">
        <v>46.8</v>
      </c>
      <c r="AP225" s="237">
        <v>46.9</v>
      </c>
      <c r="AQ225" s="237">
        <v>47.1</v>
      </c>
      <c r="AR225" s="237">
        <v>47.4</v>
      </c>
      <c r="AS225" s="237">
        <v>47.6</v>
      </c>
      <c r="AT225" s="237">
        <v>47.8</v>
      </c>
      <c r="AU225" s="237">
        <v>48</v>
      </c>
    </row>
    <row r="226" spans="2:47" s="576" customFormat="1" ht="15">
      <c r="D226" s="576" t="s">
        <v>303</v>
      </c>
      <c r="E226" s="236">
        <v>2014</v>
      </c>
      <c r="F226" s="577" t="s">
        <v>457</v>
      </c>
      <c r="G226" s="789">
        <f t="shared" si="147"/>
        <v>48.5</v>
      </c>
      <c r="H226" s="789">
        <f t="shared" si="148"/>
        <v>48.5</v>
      </c>
      <c r="I226" s="237">
        <v>48.5</v>
      </c>
      <c r="J226" s="237">
        <v>48.1</v>
      </c>
      <c r="K226" s="237">
        <v>47.7</v>
      </c>
      <c r="L226" s="237">
        <v>47.3</v>
      </c>
      <c r="M226" s="237">
        <v>47.8</v>
      </c>
      <c r="N226" s="237">
        <v>48.3</v>
      </c>
      <c r="O226" s="237">
        <v>48.8</v>
      </c>
      <c r="P226" s="237">
        <v>49.4</v>
      </c>
      <c r="Q226" s="237">
        <v>49.9</v>
      </c>
      <c r="R226" s="237">
        <v>50.6</v>
      </c>
      <c r="S226" s="237">
        <v>51.3</v>
      </c>
      <c r="T226" s="237">
        <v>51.9</v>
      </c>
      <c r="U226" s="237">
        <v>52.6</v>
      </c>
      <c r="V226" s="237">
        <v>53.3</v>
      </c>
      <c r="W226" s="237">
        <v>53.9</v>
      </c>
      <c r="X226" s="237">
        <v>54.4</v>
      </c>
      <c r="Y226" s="237">
        <v>55</v>
      </c>
      <c r="Z226" s="237">
        <v>55.6</v>
      </c>
      <c r="AA226" s="237">
        <v>56.1</v>
      </c>
      <c r="AB226" s="237">
        <v>56.6</v>
      </c>
      <c r="AC226" s="237">
        <v>57.1</v>
      </c>
      <c r="AD226" s="237">
        <v>57.5</v>
      </c>
      <c r="AE226" s="237">
        <v>58</v>
      </c>
      <c r="AF226" s="237">
        <v>58.4</v>
      </c>
      <c r="AG226" s="237">
        <v>58.9</v>
      </c>
      <c r="AH226" s="237">
        <v>59.3</v>
      </c>
      <c r="AI226" s="237">
        <v>59.7</v>
      </c>
      <c r="AJ226" s="237">
        <v>60.1</v>
      </c>
      <c r="AK226" s="237">
        <v>60.6</v>
      </c>
      <c r="AL226" s="237">
        <v>61</v>
      </c>
      <c r="AM226" s="237">
        <v>61.4</v>
      </c>
      <c r="AN226" s="237">
        <v>61.8</v>
      </c>
      <c r="AO226" s="237">
        <v>62.3</v>
      </c>
      <c r="AP226" s="237">
        <v>62.7</v>
      </c>
      <c r="AQ226" s="237">
        <v>63.2</v>
      </c>
      <c r="AR226" s="237">
        <v>63.6</v>
      </c>
      <c r="AS226" s="237">
        <v>64.099999999999994</v>
      </c>
      <c r="AT226" s="237">
        <v>64.599999999999994</v>
      </c>
      <c r="AU226" s="237">
        <v>65</v>
      </c>
    </row>
    <row r="227" spans="2:47" s="576" customFormat="1" ht="15">
      <c r="D227" s="576" t="s">
        <v>304</v>
      </c>
      <c r="E227" s="236">
        <v>2014</v>
      </c>
      <c r="F227" s="577" t="s">
        <v>457</v>
      </c>
      <c r="G227" s="789">
        <f t="shared" si="147"/>
        <v>47.6</v>
      </c>
      <c r="H227" s="789">
        <f t="shared" si="148"/>
        <v>47.6</v>
      </c>
      <c r="I227" s="237">
        <v>47.6</v>
      </c>
      <c r="J227" s="237">
        <v>47.5</v>
      </c>
      <c r="K227" s="237">
        <v>47.5</v>
      </c>
      <c r="L227" s="237">
        <v>47.4</v>
      </c>
      <c r="M227" s="237">
        <v>47.7</v>
      </c>
      <c r="N227" s="237">
        <v>47.9</v>
      </c>
      <c r="O227" s="237">
        <v>48.2</v>
      </c>
      <c r="P227" s="237">
        <v>48.5</v>
      </c>
      <c r="Q227" s="237">
        <v>48.7</v>
      </c>
      <c r="R227" s="237">
        <v>49.1</v>
      </c>
      <c r="S227" s="237">
        <v>49.4</v>
      </c>
      <c r="T227" s="237">
        <v>49.7</v>
      </c>
      <c r="U227" s="237">
        <v>50.1</v>
      </c>
      <c r="V227" s="237">
        <v>50.4</v>
      </c>
      <c r="W227" s="237">
        <v>50.7</v>
      </c>
      <c r="X227" s="237">
        <v>51</v>
      </c>
      <c r="Y227" s="237">
        <v>51.3</v>
      </c>
      <c r="Z227" s="237">
        <v>51.7</v>
      </c>
      <c r="AA227" s="237">
        <v>52.2</v>
      </c>
      <c r="AB227" s="237">
        <v>52.6</v>
      </c>
      <c r="AC227" s="237">
        <v>53.1</v>
      </c>
      <c r="AD227" s="237">
        <v>53.5</v>
      </c>
      <c r="AE227" s="237">
        <v>53.9</v>
      </c>
      <c r="AF227" s="237">
        <v>54.4</v>
      </c>
      <c r="AG227" s="237">
        <v>54.8</v>
      </c>
      <c r="AH227" s="237">
        <v>55.1</v>
      </c>
      <c r="AI227" s="237">
        <v>55.5</v>
      </c>
      <c r="AJ227" s="237">
        <v>55.9</v>
      </c>
      <c r="AK227" s="237">
        <v>56.3</v>
      </c>
      <c r="AL227" s="237">
        <v>56.7</v>
      </c>
      <c r="AM227" s="237">
        <v>57.1</v>
      </c>
      <c r="AN227" s="237">
        <v>57.5</v>
      </c>
      <c r="AO227" s="237">
        <v>57.9</v>
      </c>
      <c r="AP227" s="237">
        <v>58.3</v>
      </c>
      <c r="AQ227" s="237">
        <v>58.8</v>
      </c>
      <c r="AR227" s="237">
        <v>59.2</v>
      </c>
      <c r="AS227" s="237">
        <v>59.6</v>
      </c>
      <c r="AT227" s="237">
        <v>60.1</v>
      </c>
      <c r="AU227" s="237">
        <v>60.5</v>
      </c>
    </row>
    <row r="228" spans="2:47" s="576" customFormat="1" ht="15">
      <c r="C228" s="233" t="s">
        <v>305</v>
      </c>
      <c r="F228" s="577"/>
      <c r="G228" s="789">
        <f t="shared" si="147"/>
        <v>0</v>
      </c>
      <c r="H228" s="789">
        <f t="shared" si="148"/>
        <v>0</v>
      </c>
      <c r="I228" s="577"/>
      <c r="J228" s="577"/>
      <c r="K228" s="577"/>
      <c r="L228" s="577"/>
      <c r="M228" s="577"/>
      <c r="N228" s="577"/>
      <c r="O228" s="577"/>
      <c r="P228" s="577"/>
      <c r="Q228" s="577"/>
      <c r="R228" s="577"/>
      <c r="S228" s="577"/>
      <c r="T228" s="577"/>
      <c r="U228" s="577"/>
      <c r="V228" s="577"/>
      <c r="W228" s="577"/>
      <c r="X228" s="577"/>
      <c r="Y228" s="577"/>
      <c r="Z228" s="577"/>
      <c r="AA228" s="577"/>
      <c r="AB228" s="577"/>
      <c r="AC228" s="577"/>
      <c r="AD228" s="577"/>
      <c r="AE228" s="577"/>
      <c r="AF228" s="577"/>
      <c r="AG228" s="577"/>
      <c r="AH228" s="577"/>
      <c r="AI228" s="577"/>
      <c r="AJ228" s="577"/>
      <c r="AK228" s="577"/>
      <c r="AL228" s="577"/>
      <c r="AM228" s="577"/>
      <c r="AN228" s="577"/>
      <c r="AO228" s="577"/>
      <c r="AP228" s="577"/>
      <c r="AQ228" s="577"/>
      <c r="AR228" s="577"/>
      <c r="AS228" s="577"/>
      <c r="AT228" s="577"/>
      <c r="AU228" s="577"/>
    </row>
    <row r="229" spans="2:47" s="576" customFormat="1" ht="15">
      <c r="B229" s="634"/>
      <c r="D229" s="576" t="s">
        <v>306</v>
      </c>
      <c r="E229" s="236">
        <v>2014</v>
      </c>
      <c r="F229" s="577" t="s">
        <v>457</v>
      </c>
      <c r="G229" s="789">
        <f t="shared" si="147"/>
        <v>64.099999999999994</v>
      </c>
      <c r="H229" s="789">
        <f t="shared" si="148"/>
        <v>64.099999999999994</v>
      </c>
      <c r="I229" s="237">
        <v>64.099999999999994</v>
      </c>
      <c r="J229" s="237">
        <v>63.2</v>
      </c>
      <c r="K229" s="237">
        <v>62.4</v>
      </c>
      <c r="L229" s="237">
        <v>61.5</v>
      </c>
      <c r="M229" s="237">
        <v>61.9</v>
      </c>
      <c r="N229" s="237">
        <v>62.3</v>
      </c>
      <c r="O229" s="237">
        <v>62.7</v>
      </c>
      <c r="P229" s="779">
        <v>65.821840433738927</v>
      </c>
      <c r="Q229" s="779">
        <v>65.047767429918196</v>
      </c>
      <c r="R229" s="779">
        <v>64.835608715110197</v>
      </c>
      <c r="S229" s="779">
        <v>64.697208823830636</v>
      </c>
      <c r="T229" s="779">
        <v>64.59290976534399</v>
      </c>
      <c r="U229" s="779">
        <v>64.531892471531364</v>
      </c>
      <c r="V229" s="779">
        <v>64.464339558720255</v>
      </c>
      <c r="W229" s="779">
        <v>64.710015549840818</v>
      </c>
      <c r="X229" s="779">
        <v>64.955304437852263</v>
      </c>
      <c r="Y229" s="779">
        <v>65.200194985641772</v>
      </c>
      <c r="Z229" s="779">
        <v>65.444676055494327</v>
      </c>
      <c r="AA229" s="779">
        <v>65.688736608355271</v>
      </c>
      <c r="AB229" s="779">
        <v>65.884596633860156</v>
      </c>
      <c r="AC229" s="779">
        <v>66.08036338926722</v>
      </c>
      <c r="AD229" s="779">
        <v>66.276021603357506</v>
      </c>
      <c r="AE229" s="779">
        <v>66.471556138902102</v>
      </c>
      <c r="AF229" s="779">
        <v>66.66695199165018</v>
      </c>
      <c r="AG229" s="779">
        <v>66.829694828730965</v>
      </c>
      <c r="AH229" s="779">
        <v>66.992074665035901</v>
      </c>
      <c r="AI229" s="779">
        <v>67.154082323490499</v>
      </c>
      <c r="AJ229" s="779">
        <v>67.315708706874133</v>
      </c>
      <c r="AK229" s="779">
        <v>67.476944797280851</v>
      </c>
      <c r="AL229" s="780">
        <f>($AK$216-$AB$216)/10+AK229</f>
        <v>68.277540144543053</v>
      </c>
      <c r="AM229" s="780">
        <f t="shared" ref="AM229:AU229" si="149">($AK$216-$AB$216)/10+AL229</f>
        <v>69.078135491805256</v>
      </c>
      <c r="AN229" s="780">
        <f t="shared" si="149"/>
        <v>69.878730839067458</v>
      </c>
      <c r="AO229" s="780">
        <f t="shared" si="149"/>
        <v>70.679326186329661</v>
      </c>
      <c r="AP229" s="780">
        <f t="shared" si="149"/>
        <v>71.479921533591863</v>
      </c>
      <c r="AQ229" s="780">
        <f t="shared" si="149"/>
        <v>72.280516880854066</v>
      </c>
      <c r="AR229" s="780">
        <f t="shared" si="149"/>
        <v>73.081112228116268</v>
      </c>
      <c r="AS229" s="780">
        <f t="shared" si="149"/>
        <v>73.881707575378471</v>
      </c>
      <c r="AT229" s="780">
        <f t="shared" si="149"/>
        <v>74.682302922640673</v>
      </c>
      <c r="AU229" s="780">
        <f t="shared" si="149"/>
        <v>75.482898269902876</v>
      </c>
    </row>
    <row r="230" spans="2:47" s="576" customFormat="1" ht="15">
      <c r="D230" s="576" t="s">
        <v>307</v>
      </c>
      <c r="E230" s="236">
        <v>2014</v>
      </c>
      <c r="F230" s="577" t="s">
        <v>457</v>
      </c>
      <c r="G230" s="789">
        <f t="shared" si="147"/>
        <v>66.3</v>
      </c>
      <c r="H230" s="789">
        <f t="shared" si="148"/>
        <v>66.3</v>
      </c>
      <c r="I230" s="237">
        <v>66.3</v>
      </c>
      <c r="J230" s="237">
        <v>65.400000000000006</v>
      </c>
      <c r="K230" s="237">
        <v>64.5</v>
      </c>
      <c r="L230" s="237">
        <v>63.6</v>
      </c>
      <c r="M230" s="237">
        <v>64</v>
      </c>
      <c r="N230" s="237">
        <v>64.400000000000006</v>
      </c>
      <c r="O230" s="237">
        <v>64.8</v>
      </c>
      <c r="P230" s="237">
        <v>65.099999999999994</v>
      </c>
      <c r="Q230" s="237">
        <v>65.5</v>
      </c>
      <c r="R230" s="237">
        <v>66</v>
      </c>
      <c r="S230" s="237">
        <v>66.599999999999994</v>
      </c>
      <c r="T230" s="237">
        <v>67.099999999999994</v>
      </c>
      <c r="U230" s="237">
        <v>67.7</v>
      </c>
      <c r="V230" s="237">
        <v>68.2</v>
      </c>
      <c r="W230" s="237">
        <v>68.599999999999994</v>
      </c>
      <c r="X230" s="237">
        <v>69</v>
      </c>
      <c r="Y230" s="237">
        <v>69.5</v>
      </c>
      <c r="Z230" s="237">
        <v>69.900000000000006</v>
      </c>
      <c r="AA230" s="237">
        <v>70.3</v>
      </c>
      <c r="AB230" s="237">
        <v>70.599999999999994</v>
      </c>
      <c r="AC230" s="237">
        <v>70.900000000000006</v>
      </c>
      <c r="AD230" s="237">
        <v>71.3</v>
      </c>
      <c r="AE230" s="237">
        <v>71.599999999999994</v>
      </c>
      <c r="AF230" s="237">
        <v>71.900000000000006</v>
      </c>
      <c r="AG230" s="237">
        <v>72.2</v>
      </c>
      <c r="AH230" s="237">
        <v>72.5</v>
      </c>
      <c r="AI230" s="237">
        <v>72.8</v>
      </c>
      <c r="AJ230" s="237">
        <v>73.099999999999994</v>
      </c>
      <c r="AK230" s="237">
        <v>73.3</v>
      </c>
      <c r="AL230" s="237">
        <v>73.599999999999994</v>
      </c>
      <c r="AM230" s="237">
        <v>73.900000000000006</v>
      </c>
      <c r="AN230" s="237">
        <v>74.2</v>
      </c>
      <c r="AO230" s="237">
        <v>74.400000000000006</v>
      </c>
      <c r="AP230" s="237">
        <v>74.7</v>
      </c>
      <c r="AQ230" s="237">
        <v>75.099999999999994</v>
      </c>
      <c r="AR230" s="237">
        <v>75.5</v>
      </c>
      <c r="AS230" s="237">
        <v>75.8</v>
      </c>
      <c r="AT230" s="237">
        <v>76.2</v>
      </c>
      <c r="AU230" s="237">
        <v>76.5</v>
      </c>
    </row>
    <row r="231" spans="2:47" s="576" customFormat="1" ht="15">
      <c r="D231" s="576" t="s">
        <v>308</v>
      </c>
      <c r="E231" s="236">
        <v>2014</v>
      </c>
      <c r="F231" s="577" t="s">
        <v>457</v>
      </c>
      <c r="G231" s="789">
        <f t="shared" si="147"/>
        <v>70.900000000000006</v>
      </c>
      <c r="H231" s="789">
        <f t="shared" si="148"/>
        <v>70.900000000000006</v>
      </c>
      <c r="I231" s="237">
        <v>70.900000000000006</v>
      </c>
      <c r="J231" s="237">
        <v>69.900000000000006</v>
      </c>
      <c r="K231" s="237">
        <v>68.900000000000006</v>
      </c>
      <c r="L231" s="237">
        <v>67.900000000000006</v>
      </c>
      <c r="M231" s="237">
        <v>68.3</v>
      </c>
      <c r="N231" s="237">
        <v>68.7</v>
      </c>
      <c r="O231" s="237">
        <v>69.099999999999994</v>
      </c>
      <c r="P231" s="237">
        <v>69.5</v>
      </c>
      <c r="Q231" s="237">
        <v>69.900000000000006</v>
      </c>
      <c r="R231" s="237">
        <v>70.400000000000006</v>
      </c>
      <c r="S231" s="237">
        <v>71</v>
      </c>
      <c r="T231" s="237">
        <v>71.599999999999994</v>
      </c>
      <c r="U231" s="237">
        <v>72.2</v>
      </c>
      <c r="V231" s="237">
        <v>72.8</v>
      </c>
      <c r="W231" s="237">
        <v>73.2</v>
      </c>
      <c r="X231" s="237">
        <v>73.599999999999994</v>
      </c>
      <c r="Y231" s="237">
        <v>74</v>
      </c>
      <c r="Z231" s="237">
        <v>74.5</v>
      </c>
      <c r="AA231" s="237">
        <v>74.900000000000006</v>
      </c>
      <c r="AB231" s="237">
        <v>75.2</v>
      </c>
      <c r="AC231" s="237">
        <v>75.599999999999994</v>
      </c>
      <c r="AD231" s="237">
        <v>75.900000000000006</v>
      </c>
      <c r="AE231" s="237">
        <v>76.3</v>
      </c>
      <c r="AF231" s="237">
        <v>76.599999999999994</v>
      </c>
      <c r="AG231" s="237">
        <v>76.900000000000006</v>
      </c>
      <c r="AH231" s="237">
        <v>77.2</v>
      </c>
      <c r="AI231" s="237">
        <v>77.5</v>
      </c>
      <c r="AJ231" s="237">
        <v>77.8</v>
      </c>
      <c r="AK231" s="237">
        <v>78.099999999999994</v>
      </c>
      <c r="AL231" s="237">
        <v>78.3</v>
      </c>
      <c r="AM231" s="237">
        <v>78.599999999999994</v>
      </c>
      <c r="AN231" s="237">
        <v>78.900000000000006</v>
      </c>
      <c r="AO231" s="237">
        <v>79.2</v>
      </c>
      <c r="AP231" s="237">
        <v>79.5</v>
      </c>
      <c r="AQ231" s="237">
        <v>79.8</v>
      </c>
      <c r="AR231" s="237">
        <v>80.2</v>
      </c>
      <c r="AS231" s="237">
        <v>80.599999999999994</v>
      </c>
      <c r="AT231" s="237">
        <v>80.900000000000006</v>
      </c>
      <c r="AU231" s="237">
        <v>81.3</v>
      </c>
    </row>
    <row r="232" spans="2:47" s="576" customFormat="1" ht="15">
      <c r="C232" s="233" t="s">
        <v>309</v>
      </c>
      <c r="F232" s="577"/>
      <c r="G232" s="789">
        <f t="shared" si="147"/>
        <v>0</v>
      </c>
      <c r="H232" s="789">
        <f t="shared" si="148"/>
        <v>0</v>
      </c>
    </row>
    <row r="233" spans="2:47" s="576" customFormat="1" ht="15">
      <c r="C233" s="233"/>
      <c r="D233" s="576" t="s">
        <v>378</v>
      </c>
      <c r="E233" s="236">
        <v>2014</v>
      </c>
      <c r="F233" s="577" t="s">
        <v>457</v>
      </c>
      <c r="G233" s="789">
        <f t="shared" si="147"/>
        <v>73.7</v>
      </c>
      <c r="H233" s="789">
        <f t="shared" si="148"/>
        <v>73.7</v>
      </c>
      <c r="I233" s="237">
        <v>73.7</v>
      </c>
      <c r="J233" s="237">
        <v>72.7</v>
      </c>
      <c r="K233" s="237">
        <v>71.8</v>
      </c>
      <c r="L233" s="237">
        <v>70.8</v>
      </c>
      <c r="M233" s="237">
        <v>71.2</v>
      </c>
      <c r="N233" s="237">
        <v>71.599999999999994</v>
      </c>
      <c r="O233" s="237">
        <v>72.099999999999994</v>
      </c>
      <c r="P233" s="790">
        <v>76.091254383044159</v>
      </c>
      <c r="Q233" s="790">
        <v>75.196411798020051</v>
      </c>
      <c r="R233" s="790">
        <v>74.951152433777779</v>
      </c>
      <c r="S233" s="790">
        <v>74.791159621900391</v>
      </c>
      <c r="T233" s="790">
        <v>74.670587997969449</v>
      </c>
      <c r="U233" s="790">
        <v>74.600050887571641</v>
      </c>
      <c r="V233" s="790">
        <v>74.521958481781198</v>
      </c>
      <c r="W233" s="790">
        <v>74.805964431979135</v>
      </c>
      <c r="X233" s="790">
        <v>75.089522883885408</v>
      </c>
      <c r="Y233" s="790">
        <v>75.372620847191584</v>
      </c>
      <c r="Z233" s="790">
        <v>75.65524544649486</v>
      </c>
      <c r="AA233" s="790">
        <v>75.937383920445654</v>
      </c>
      <c r="AB233" s="790">
        <v>76.163801701017505</v>
      </c>
      <c r="AC233" s="790">
        <v>76.390111659646166</v>
      </c>
      <c r="AD233" s="790">
        <v>76.616296142522543</v>
      </c>
      <c r="AE233" s="790">
        <v>76.842337650732446</v>
      </c>
      <c r="AF233" s="790">
        <v>77.068218839086825</v>
      </c>
      <c r="AG233" s="790">
        <v>77.256352542637686</v>
      </c>
      <c r="AH233" s="790">
        <v>77.444066610636042</v>
      </c>
      <c r="AI233" s="790">
        <v>77.631350434215534</v>
      </c>
      <c r="AJ233" s="790">
        <v>77.818193496822346</v>
      </c>
      <c r="AK233" s="790">
        <v>78.004585373591794</v>
      </c>
      <c r="AL233" s="780">
        <f>($AK$216-$AB$216)/10+AK233</f>
        <v>78.805180720853997</v>
      </c>
      <c r="AM233" s="780">
        <f t="shared" ref="AM233:AU233" si="150">($AK$216-$AB$216)/10+AL233</f>
        <v>79.605776068116199</v>
      </c>
      <c r="AN233" s="780">
        <f t="shared" si="150"/>
        <v>80.406371415378402</v>
      </c>
      <c r="AO233" s="780">
        <f t="shared" si="150"/>
        <v>81.206966762640604</v>
      </c>
      <c r="AP233" s="780">
        <f t="shared" si="150"/>
        <v>82.007562109902807</v>
      </c>
      <c r="AQ233" s="780">
        <f t="shared" si="150"/>
        <v>82.808157457165009</v>
      </c>
      <c r="AR233" s="780">
        <f t="shared" si="150"/>
        <v>83.608752804427212</v>
      </c>
      <c r="AS233" s="780">
        <f t="shared" si="150"/>
        <v>84.409348151689414</v>
      </c>
      <c r="AT233" s="780">
        <f t="shared" si="150"/>
        <v>85.209943498951617</v>
      </c>
      <c r="AU233" s="780">
        <f t="shared" si="150"/>
        <v>86.010538846213819</v>
      </c>
    </row>
    <row r="234" spans="2:47" s="576" customFormat="1" ht="15">
      <c r="D234" s="576" t="s">
        <v>310</v>
      </c>
      <c r="E234" s="236">
        <v>2014</v>
      </c>
      <c r="F234" s="577" t="s">
        <v>457</v>
      </c>
      <c r="G234" s="789">
        <f t="shared" si="147"/>
        <v>106.1</v>
      </c>
      <c r="H234" s="789">
        <f t="shared" si="148"/>
        <v>106.1</v>
      </c>
      <c r="I234" s="237">
        <v>106.1</v>
      </c>
      <c r="J234" s="237">
        <v>104.4</v>
      </c>
      <c r="K234" s="237">
        <v>102.6</v>
      </c>
      <c r="L234" s="237">
        <v>100.9</v>
      </c>
      <c r="M234" s="237">
        <v>101.4</v>
      </c>
      <c r="N234" s="237">
        <v>102</v>
      </c>
      <c r="O234" s="237">
        <v>102.6</v>
      </c>
      <c r="P234" s="237">
        <v>103.1</v>
      </c>
      <c r="Q234" s="237">
        <v>103.7</v>
      </c>
      <c r="R234" s="237">
        <v>104.5</v>
      </c>
      <c r="S234" s="237">
        <v>105.3</v>
      </c>
      <c r="T234" s="237">
        <v>106.2</v>
      </c>
      <c r="U234" s="237">
        <v>107</v>
      </c>
      <c r="V234" s="237">
        <v>107.9</v>
      </c>
      <c r="W234" s="237">
        <v>108.5</v>
      </c>
      <c r="X234" s="237">
        <v>109</v>
      </c>
      <c r="Y234" s="237">
        <v>109.6</v>
      </c>
      <c r="Z234" s="237">
        <v>110.2</v>
      </c>
      <c r="AA234" s="237">
        <v>110.8</v>
      </c>
      <c r="AB234" s="237">
        <v>111.3</v>
      </c>
      <c r="AC234" s="237">
        <v>111.7</v>
      </c>
      <c r="AD234" s="237">
        <v>112.1</v>
      </c>
      <c r="AE234" s="237">
        <v>112.6</v>
      </c>
      <c r="AF234" s="237">
        <v>113</v>
      </c>
      <c r="AG234" s="237">
        <v>113.4</v>
      </c>
      <c r="AH234" s="237">
        <v>113.8</v>
      </c>
      <c r="AI234" s="237">
        <v>114.2</v>
      </c>
      <c r="AJ234" s="237">
        <v>114.5</v>
      </c>
      <c r="AK234" s="237">
        <v>114.9</v>
      </c>
      <c r="AL234" s="237">
        <v>115.3</v>
      </c>
      <c r="AM234" s="237">
        <v>115.6</v>
      </c>
      <c r="AN234" s="237">
        <v>116</v>
      </c>
      <c r="AO234" s="237">
        <v>116.3</v>
      </c>
      <c r="AP234" s="237">
        <v>116.7</v>
      </c>
      <c r="AQ234" s="237">
        <v>117.1</v>
      </c>
      <c r="AR234" s="237">
        <v>117.6</v>
      </c>
      <c r="AS234" s="237">
        <v>118</v>
      </c>
      <c r="AT234" s="237">
        <v>118.5</v>
      </c>
      <c r="AU234" s="237">
        <v>118.9</v>
      </c>
    </row>
    <row r="235" spans="2:47" s="576" customFormat="1" ht="15">
      <c r="C235" s="233" t="s">
        <v>311</v>
      </c>
      <c r="F235" s="577"/>
      <c r="G235" s="789">
        <f t="shared" si="147"/>
        <v>0</v>
      </c>
      <c r="H235" s="789">
        <f t="shared" si="148"/>
        <v>0</v>
      </c>
      <c r="I235" s="577"/>
      <c r="J235" s="577"/>
      <c r="K235" s="577"/>
      <c r="L235" s="577"/>
      <c r="M235" s="577"/>
      <c r="N235" s="577"/>
      <c r="O235" s="577"/>
      <c r="P235" s="577"/>
      <c r="Q235" s="577"/>
      <c r="R235" s="577"/>
      <c r="S235" s="577"/>
      <c r="T235" s="577"/>
      <c r="U235" s="577"/>
      <c r="V235" s="577"/>
      <c r="W235" s="577"/>
      <c r="X235" s="577"/>
      <c r="Y235" s="577"/>
      <c r="Z235" s="577"/>
      <c r="AA235" s="577"/>
      <c r="AB235" s="577"/>
      <c r="AC235" s="577"/>
      <c r="AD235" s="577"/>
      <c r="AE235" s="577"/>
      <c r="AF235" s="577"/>
      <c r="AG235" s="577"/>
      <c r="AH235" s="577"/>
      <c r="AI235" s="577"/>
      <c r="AJ235" s="577"/>
      <c r="AK235" s="577"/>
      <c r="AL235" s="577"/>
      <c r="AM235" s="577"/>
      <c r="AN235" s="577"/>
      <c r="AO235" s="577"/>
      <c r="AP235" s="577"/>
      <c r="AQ235" s="577"/>
      <c r="AR235" s="577"/>
      <c r="AS235" s="577"/>
      <c r="AT235" s="577"/>
      <c r="AU235" s="577"/>
    </row>
    <row r="236" spans="2:47" s="576" customFormat="1" ht="15">
      <c r="B236" s="634"/>
      <c r="D236" s="576" t="s">
        <v>312</v>
      </c>
      <c r="E236" s="236">
        <v>2014</v>
      </c>
      <c r="F236" s="577" t="s">
        <v>457</v>
      </c>
      <c r="G236" s="789">
        <f t="shared" si="147"/>
        <v>41.5</v>
      </c>
      <c r="H236" s="789">
        <f t="shared" si="148"/>
        <v>41.5</v>
      </c>
      <c r="I236" s="237">
        <v>41.5</v>
      </c>
      <c r="J236" s="237">
        <v>41.2</v>
      </c>
      <c r="K236" s="237">
        <v>40.799999999999997</v>
      </c>
      <c r="L236" s="237">
        <v>40.5</v>
      </c>
      <c r="M236" s="237">
        <v>40.9</v>
      </c>
      <c r="N236" s="237">
        <v>41.4</v>
      </c>
      <c r="O236" s="237">
        <v>41.8</v>
      </c>
      <c r="P236" s="237">
        <v>42.3</v>
      </c>
      <c r="Q236" s="237">
        <v>42.7</v>
      </c>
      <c r="R236" s="237">
        <v>43.3</v>
      </c>
      <c r="S236" s="237">
        <v>43.9</v>
      </c>
      <c r="T236" s="237">
        <v>44.5</v>
      </c>
      <c r="U236" s="237">
        <v>45</v>
      </c>
      <c r="V236" s="237">
        <v>45.6</v>
      </c>
      <c r="W236" s="237">
        <v>46.1</v>
      </c>
      <c r="X236" s="237">
        <v>46.6</v>
      </c>
      <c r="Y236" s="237">
        <v>47.1</v>
      </c>
      <c r="Z236" s="237">
        <v>47.6</v>
      </c>
      <c r="AA236" s="237">
        <v>48.1</v>
      </c>
      <c r="AB236" s="237">
        <v>48.4</v>
      </c>
      <c r="AC236" s="237">
        <v>48.8</v>
      </c>
      <c r="AD236" s="237">
        <v>49.2</v>
      </c>
      <c r="AE236" s="237">
        <v>49.6</v>
      </c>
      <c r="AF236" s="237">
        <v>50</v>
      </c>
      <c r="AG236" s="237">
        <v>50.4</v>
      </c>
      <c r="AH236" s="237">
        <v>50.7</v>
      </c>
      <c r="AI236" s="237">
        <v>51.1</v>
      </c>
      <c r="AJ236" s="237">
        <v>51.5</v>
      </c>
      <c r="AK236" s="237">
        <v>51.8</v>
      </c>
      <c r="AL236" s="237">
        <v>52.2</v>
      </c>
      <c r="AM236" s="237">
        <v>52.6</v>
      </c>
      <c r="AN236" s="237">
        <v>52.9</v>
      </c>
      <c r="AO236" s="237">
        <v>53.3</v>
      </c>
      <c r="AP236" s="237">
        <v>53.7</v>
      </c>
      <c r="AQ236" s="237">
        <v>54.1</v>
      </c>
      <c r="AR236" s="237">
        <v>54.5</v>
      </c>
      <c r="AS236" s="237">
        <v>54.9</v>
      </c>
      <c r="AT236" s="237">
        <v>55.3</v>
      </c>
      <c r="AU236" s="237">
        <v>55.7</v>
      </c>
    </row>
    <row r="237" spans="2:47" s="576" customFormat="1" ht="15">
      <c r="D237" s="576" t="s">
        <v>313</v>
      </c>
      <c r="E237" s="236">
        <v>2014</v>
      </c>
      <c r="F237" s="577" t="s">
        <v>457</v>
      </c>
      <c r="G237" s="789">
        <f t="shared" si="147"/>
        <v>39.9</v>
      </c>
      <c r="H237" s="789">
        <f t="shared" si="148"/>
        <v>39.9</v>
      </c>
      <c r="I237" s="237">
        <v>39.9</v>
      </c>
      <c r="J237" s="237">
        <v>39.5</v>
      </c>
      <c r="K237" s="237">
        <v>39.200000000000003</v>
      </c>
      <c r="L237" s="237">
        <v>38.799999999999997</v>
      </c>
      <c r="M237" s="237">
        <v>39.299999999999997</v>
      </c>
      <c r="N237" s="237">
        <v>39.700000000000003</v>
      </c>
      <c r="O237" s="237">
        <v>40.1</v>
      </c>
      <c r="P237" s="237">
        <v>40.6</v>
      </c>
      <c r="Q237" s="237">
        <v>41</v>
      </c>
      <c r="R237" s="237">
        <v>41.6</v>
      </c>
      <c r="S237" s="237">
        <v>42.1</v>
      </c>
      <c r="T237" s="237">
        <v>42.6</v>
      </c>
      <c r="U237" s="237">
        <v>42.9</v>
      </c>
      <c r="V237" s="237">
        <v>43.2</v>
      </c>
      <c r="W237" s="237">
        <v>43.4</v>
      </c>
      <c r="X237" s="237">
        <v>43.6</v>
      </c>
      <c r="Y237" s="237">
        <v>43.9</v>
      </c>
      <c r="Z237" s="237">
        <v>44.3</v>
      </c>
      <c r="AA237" s="237">
        <v>44.7</v>
      </c>
      <c r="AB237" s="237">
        <v>45.1</v>
      </c>
      <c r="AC237" s="237">
        <v>45.4</v>
      </c>
      <c r="AD237" s="237">
        <v>45.8</v>
      </c>
      <c r="AE237" s="237">
        <v>46.2</v>
      </c>
      <c r="AF237" s="237">
        <v>46.5</v>
      </c>
      <c r="AG237" s="237">
        <v>46.9</v>
      </c>
      <c r="AH237" s="237">
        <v>47.2</v>
      </c>
      <c r="AI237" s="237">
        <v>47.5</v>
      </c>
      <c r="AJ237" s="237">
        <v>47.9</v>
      </c>
      <c r="AK237" s="237">
        <v>48.2</v>
      </c>
      <c r="AL237" s="237">
        <v>48.6</v>
      </c>
      <c r="AM237" s="237">
        <v>48.9</v>
      </c>
      <c r="AN237" s="237">
        <v>49.2</v>
      </c>
      <c r="AO237" s="237">
        <v>49.6</v>
      </c>
      <c r="AP237" s="237">
        <v>49.9</v>
      </c>
      <c r="AQ237" s="237">
        <v>50.3</v>
      </c>
      <c r="AR237" s="237">
        <v>50.7</v>
      </c>
      <c r="AS237" s="237">
        <v>51</v>
      </c>
      <c r="AT237" s="237">
        <v>51.4</v>
      </c>
      <c r="AU237" s="237">
        <v>51.8</v>
      </c>
    </row>
    <row r="238" spans="2:47" s="576" customFormat="1">
      <c r="C238" s="787" t="s">
        <v>717</v>
      </c>
      <c r="E238" s="574"/>
      <c r="F238" s="577"/>
    </row>
    <row r="239" spans="2:47" s="576" customFormat="1">
      <c r="C239" s="787" t="s">
        <v>718</v>
      </c>
      <c r="E239" s="574"/>
      <c r="F239" s="577"/>
    </row>
    <row r="240" spans="2:47" s="576" customFormat="1">
      <c r="E240" s="574"/>
      <c r="F240" s="577"/>
    </row>
    <row r="241" spans="3:15" s="576" customFormat="1">
      <c r="E241" s="574"/>
      <c r="F241" s="577"/>
    </row>
    <row r="242" spans="3:15" s="576" customFormat="1">
      <c r="E242" s="574"/>
      <c r="F242" s="577"/>
    </row>
    <row r="243" spans="3:15" s="576" customFormat="1">
      <c r="C243" s="634" t="s">
        <v>1140</v>
      </c>
      <c r="E243" s="574"/>
      <c r="F243" s="577"/>
    </row>
    <row r="244" spans="3:15" s="576" customFormat="1" ht="19.5">
      <c r="C244" s="791" t="s">
        <v>1141</v>
      </c>
      <c r="D244" s="792"/>
      <c r="E244" s="792"/>
      <c r="F244" s="792"/>
      <c r="G244" s="792"/>
      <c r="H244" s="792"/>
      <c r="I244" s="792"/>
      <c r="J244" s="792"/>
      <c r="K244" s="792"/>
      <c r="L244" s="792"/>
      <c r="M244" s="792"/>
      <c r="N244" s="792"/>
      <c r="O244" s="792"/>
    </row>
    <row r="245" spans="3:15" s="576" customFormat="1">
      <c r="C245" s="574"/>
      <c r="D245" s="577"/>
      <c r="E245" s="577"/>
      <c r="F245" s="577"/>
      <c r="G245" s="577"/>
      <c r="H245" s="577"/>
      <c r="I245" s="577"/>
      <c r="J245" s="577"/>
      <c r="K245" s="577"/>
      <c r="L245" s="577"/>
      <c r="M245" s="577"/>
      <c r="N245" s="577"/>
      <c r="O245" s="577"/>
    </row>
    <row r="246" spans="3:15" s="576" customFormat="1" ht="24">
      <c r="C246" s="821" t="s">
        <v>1142</v>
      </c>
      <c r="D246" s="822" t="s">
        <v>1143</v>
      </c>
      <c r="E246" s="823"/>
      <c r="F246" s="823"/>
      <c r="G246" s="823"/>
      <c r="H246" s="823"/>
      <c r="I246" s="823"/>
      <c r="J246" s="823"/>
      <c r="K246" s="823"/>
      <c r="L246" s="823"/>
      <c r="M246" s="823"/>
      <c r="N246" s="823"/>
      <c r="O246" s="793" t="s">
        <v>1144</v>
      </c>
    </row>
    <row r="247" spans="3:15" s="576" customFormat="1" ht="24">
      <c r="C247" s="821"/>
      <c r="D247" s="794" t="s">
        <v>489</v>
      </c>
      <c r="E247" s="795" t="s">
        <v>483</v>
      </c>
      <c r="F247" s="794" t="s">
        <v>488</v>
      </c>
      <c r="G247" s="794" t="s">
        <v>1145</v>
      </c>
      <c r="H247" s="794" t="s">
        <v>1146</v>
      </c>
      <c r="I247" s="794" t="s">
        <v>51</v>
      </c>
      <c r="J247" s="794" t="s">
        <v>1147</v>
      </c>
      <c r="K247" s="794" t="s">
        <v>204</v>
      </c>
      <c r="L247" s="795" t="s">
        <v>1148</v>
      </c>
      <c r="M247" s="795" t="s">
        <v>1149</v>
      </c>
      <c r="N247" s="795" t="s">
        <v>1150</v>
      </c>
      <c r="O247" s="795" t="s">
        <v>1150</v>
      </c>
    </row>
    <row r="248" spans="3:15" s="576" customFormat="1">
      <c r="C248" s="796">
        <v>2019</v>
      </c>
      <c r="D248" s="797">
        <v>73.880467131059874</v>
      </c>
      <c r="E248" s="797">
        <v>53.94529046338949</v>
      </c>
      <c r="F248" s="797">
        <v>23.406929880021178</v>
      </c>
      <c r="G248" s="797">
        <v>59.650894850098339</v>
      </c>
      <c r="H248" s="797">
        <v>93.420285058277415</v>
      </c>
      <c r="I248" s="797">
        <v>93.420285058277415</v>
      </c>
      <c r="J248" s="797">
        <v>95.583697574109408</v>
      </c>
      <c r="K248" s="797">
        <v>90.831954056376134</v>
      </c>
      <c r="L248" s="797">
        <v>65.821840433738927</v>
      </c>
      <c r="M248" s="797">
        <v>76.091254383044159</v>
      </c>
      <c r="N248" s="797">
        <v>48.13702532536383</v>
      </c>
      <c r="O248" s="797">
        <v>43.426265623811808</v>
      </c>
    </row>
    <row r="249" spans="3:15" s="576" customFormat="1">
      <c r="C249" s="796">
        <v>2020</v>
      </c>
      <c r="D249" s="797">
        <v>75.931459523916047</v>
      </c>
      <c r="E249" s="797">
        <v>48.049648253621314</v>
      </c>
      <c r="F249" s="797">
        <v>22.320750500826144</v>
      </c>
      <c r="G249" s="797">
        <v>61.701887242954513</v>
      </c>
      <c r="H249" s="797">
        <v>95.471277451133588</v>
      </c>
      <c r="I249" s="797">
        <v>95.471277451133588</v>
      </c>
      <c r="J249" s="797">
        <v>97.634689966965581</v>
      </c>
      <c r="K249" s="797">
        <v>92.882946449232307</v>
      </c>
      <c r="L249" s="797">
        <v>65.047767429918196</v>
      </c>
      <c r="M249" s="797">
        <v>75.196411798020051</v>
      </c>
      <c r="N249" s="797">
        <v>48.528146948789889</v>
      </c>
      <c r="O249" s="797">
        <v>43.65253654619243</v>
      </c>
    </row>
    <row r="250" spans="3:15" s="576" customFormat="1">
      <c r="C250" s="796">
        <v>2021</v>
      </c>
      <c r="D250" s="797">
        <v>77.701364104651802</v>
      </c>
      <c r="E250" s="797">
        <v>40.610335042675715</v>
      </c>
      <c r="F250" s="797">
        <v>22.4152337792803</v>
      </c>
      <c r="G250" s="797">
        <v>63.471791823690268</v>
      </c>
      <c r="H250" s="797">
        <v>97.241182031869343</v>
      </c>
      <c r="I250" s="797">
        <v>97.241182031869343</v>
      </c>
      <c r="J250" s="797">
        <v>99.404594547701336</v>
      </c>
      <c r="K250" s="797">
        <v>94.652851029968062</v>
      </c>
      <c r="L250" s="797">
        <v>64.835608715110197</v>
      </c>
      <c r="M250" s="797">
        <v>74.951152433777779</v>
      </c>
      <c r="N250" s="797">
        <v>49.029117231990426</v>
      </c>
      <c r="O250" s="797">
        <v>43.928999158791825</v>
      </c>
    </row>
    <row r="251" spans="3:15" s="576" customFormat="1">
      <c r="C251" s="796">
        <v>2022</v>
      </c>
      <c r="D251" s="797">
        <v>79.289025348102882</v>
      </c>
      <c r="E251" s="797">
        <v>40.251302428954361</v>
      </c>
      <c r="F251" s="797">
        <v>21.958696459631067</v>
      </c>
      <c r="G251" s="797">
        <v>65.059453067141348</v>
      </c>
      <c r="H251" s="797">
        <v>98.828843275320423</v>
      </c>
      <c r="I251" s="797">
        <v>98.828843275320423</v>
      </c>
      <c r="J251" s="797">
        <v>100.99225579115242</v>
      </c>
      <c r="K251" s="797">
        <v>96.240512273419142</v>
      </c>
      <c r="L251" s="797">
        <v>64.697208823830636</v>
      </c>
      <c r="M251" s="797">
        <v>74.791159621900391</v>
      </c>
      <c r="N251" s="797">
        <v>49.532405602008467</v>
      </c>
      <c r="O251" s="797">
        <v>44.205082849585672</v>
      </c>
    </row>
    <row r="252" spans="3:15" s="576" customFormat="1">
      <c r="C252" s="796">
        <v>2023</v>
      </c>
      <c r="D252" s="797">
        <v>81.023644009316811</v>
      </c>
      <c r="E252" s="797">
        <v>41.309391764519106</v>
      </c>
      <c r="F252" s="797">
        <v>21.264781225277929</v>
      </c>
      <c r="G252" s="797">
        <v>66.794071728355277</v>
      </c>
      <c r="H252" s="797">
        <v>100.56346193653435</v>
      </c>
      <c r="I252" s="797">
        <v>100.56346193653435</v>
      </c>
      <c r="J252" s="797">
        <v>102.72687445236635</v>
      </c>
      <c r="K252" s="797">
        <v>97.975130934633071</v>
      </c>
      <c r="L252" s="797">
        <v>64.59290976534399</v>
      </c>
      <c r="M252" s="797">
        <v>74.670587997969449</v>
      </c>
      <c r="N252" s="797">
        <v>50.037858127615173</v>
      </c>
      <c r="O252" s="797">
        <v>44.480789827031863</v>
      </c>
    </row>
    <row r="253" spans="3:15" s="576" customFormat="1">
      <c r="C253" s="796">
        <v>2024</v>
      </c>
      <c r="D253" s="797">
        <v>82.712910272747436</v>
      </c>
      <c r="E253" s="797">
        <v>42.384105929912252</v>
      </c>
      <c r="F253" s="797">
        <v>20.867962592605565</v>
      </c>
      <c r="G253" s="797">
        <v>68.483337991785902</v>
      </c>
      <c r="H253" s="797">
        <v>102.25272819996498</v>
      </c>
      <c r="I253" s="797">
        <v>102.25272819996498</v>
      </c>
      <c r="J253" s="797">
        <v>104.41614071579697</v>
      </c>
      <c r="K253" s="797">
        <v>99.664397198063696</v>
      </c>
      <c r="L253" s="797">
        <v>64.531892471531364</v>
      </c>
      <c r="M253" s="797">
        <v>74.600050887571641</v>
      </c>
      <c r="N253" s="797">
        <v>50.545323014619093</v>
      </c>
      <c r="O253" s="797">
        <v>44.75612229958827</v>
      </c>
    </row>
    <row r="254" spans="3:15" s="576" customFormat="1">
      <c r="C254" s="796">
        <v>2025</v>
      </c>
      <c r="D254" s="797">
        <v>84.053105996878713</v>
      </c>
      <c r="E254" s="797">
        <v>43.418156429745736</v>
      </c>
      <c r="F254" s="797">
        <v>20.782407107600484</v>
      </c>
      <c r="G254" s="797">
        <v>69.823533715917179</v>
      </c>
      <c r="H254" s="797">
        <v>103.59292392409625</v>
      </c>
      <c r="I254" s="797">
        <v>103.59292392409625</v>
      </c>
      <c r="J254" s="797">
        <v>105.75633643992825</v>
      </c>
      <c r="K254" s="797">
        <v>101.00459292219497</v>
      </c>
      <c r="L254" s="797">
        <v>64.464339558720255</v>
      </c>
      <c r="M254" s="797">
        <v>74.521958481781198</v>
      </c>
      <c r="N254" s="797">
        <v>51.054650583706497</v>
      </c>
      <c r="O254" s="797">
        <v>45.031082475712807</v>
      </c>
    </row>
    <row r="255" spans="3:15" s="576" customFormat="1">
      <c r="C255" s="796">
        <v>2026</v>
      </c>
      <c r="D255" s="797">
        <v>86.676571233184688</v>
      </c>
      <c r="E255" s="797">
        <v>44.641031928073701</v>
      </c>
      <c r="F255" s="797">
        <v>20.995445244296899</v>
      </c>
      <c r="G255" s="797">
        <v>72.446998952223154</v>
      </c>
      <c r="H255" s="797">
        <v>106.21638916040223</v>
      </c>
      <c r="I255" s="797">
        <v>106.21638916040223</v>
      </c>
      <c r="J255" s="797">
        <v>108.37980167623422</v>
      </c>
      <c r="K255" s="797">
        <v>103.62805815850095</v>
      </c>
      <c r="L255" s="797">
        <v>64.710015549840818</v>
      </c>
      <c r="M255" s="797">
        <v>74.805964431979135</v>
      </c>
      <c r="N255" s="797">
        <v>51.365726036392111</v>
      </c>
      <c r="O255" s="797">
        <v>45.279976467601358</v>
      </c>
    </row>
    <row r="256" spans="3:15" s="576" customFormat="1">
      <c r="C256" s="796">
        <v>2027</v>
      </c>
      <c r="D256" s="797">
        <v>88.186071195293991</v>
      </c>
      <c r="E256" s="797">
        <v>45.825085716990088</v>
      </c>
      <c r="F256" s="797">
        <v>21.195931843995432</v>
      </c>
      <c r="G256" s="797">
        <v>73.956498914332457</v>
      </c>
      <c r="H256" s="797">
        <v>107.72588912251153</v>
      </c>
      <c r="I256" s="797">
        <v>107.72588912251153</v>
      </c>
      <c r="J256" s="797">
        <v>109.88930163834353</v>
      </c>
      <c r="K256" s="797">
        <v>105.13755812061025</v>
      </c>
      <c r="L256" s="797">
        <v>64.955304437852263</v>
      </c>
      <c r="M256" s="797">
        <v>75.089522883885408</v>
      </c>
      <c r="N256" s="797">
        <v>51.677058261479885</v>
      </c>
      <c r="O256" s="797">
        <v>45.528796659727412</v>
      </c>
    </row>
    <row r="257" spans="3:15" s="576" customFormat="1">
      <c r="C257" s="796">
        <v>2028</v>
      </c>
      <c r="D257" s="797">
        <v>89.586356147981405</v>
      </c>
      <c r="E257" s="797">
        <v>46.950294651080164</v>
      </c>
      <c r="F257" s="797">
        <v>21.376250794374826</v>
      </c>
      <c r="G257" s="797">
        <v>75.356783867019871</v>
      </c>
      <c r="H257" s="797">
        <v>109.12617407519895</v>
      </c>
      <c r="I257" s="797">
        <v>109.12617407519895</v>
      </c>
      <c r="J257" s="797">
        <v>111.28958659103094</v>
      </c>
      <c r="K257" s="797">
        <v>106.53784307329767</v>
      </c>
      <c r="L257" s="797">
        <v>65.200194985641772</v>
      </c>
      <c r="M257" s="797">
        <v>75.372620847191584</v>
      </c>
      <c r="N257" s="797">
        <v>51.988642280065065</v>
      </c>
      <c r="O257" s="797">
        <v>45.777543052090969</v>
      </c>
    </row>
    <row r="258" spans="3:15" s="576" customFormat="1">
      <c r="C258" s="796">
        <v>2029</v>
      </c>
      <c r="D258" s="797">
        <v>90.92803677830058</v>
      </c>
      <c r="E258" s="797">
        <v>48.047984271449039</v>
      </c>
      <c r="F258" s="797">
        <v>21.548170886437006</v>
      </c>
      <c r="G258" s="797">
        <v>76.698464497339046</v>
      </c>
      <c r="H258" s="797">
        <v>110.46785470551812</v>
      </c>
      <c r="I258" s="797">
        <v>110.46785470551812</v>
      </c>
      <c r="J258" s="797">
        <v>112.63126722135011</v>
      </c>
      <c r="K258" s="797">
        <v>107.87952370361684</v>
      </c>
      <c r="L258" s="797">
        <v>65.444676055494327</v>
      </c>
      <c r="M258" s="797">
        <v>75.65524544649486</v>
      </c>
      <c r="N258" s="797">
        <v>52.300473165558273</v>
      </c>
      <c r="O258" s="797">
        <v>46.02621564469203</v>
      </c>
    </row>
    <row r="259" spans="3:15" s="576" customFormat="1">
      <c r="C259" s="796">
        <v>2030</v>
      </c>
      <c r="D259" s="797">
        <v>92.141387034323401</v>
      </c>
      <c r="E259" s="797">
        <v>49.074729484141251</v>
      </c>
      <c r="F259" s="797">
        <v>21.695318201462513</v>
      </c>
      <c r="G259" s="797">
        <v>77.911814753361867</v>
      </c>
      <c r="H259" s="797">
        <v>111.68120496154094</v>
      </c>
      <c r="I259" s="797">
        <v>111.68120496154094</v>
      </c>
      <c r="J259" s="797">
        <v>113.84461747737294</v>
      </c>
      <c r="K259" s="797">
        <v>109.09287395963966</v>
      </c>
      <c r="L259" s="797">
        <v>65.688736608355271</v>
      </c>
      <c r="M259" s="797">
        <v>75.937383920445654</v>
      </c>
      <c r="N259" s="797">
        <v>52.612546043058984</v>
      </c>
      <c r="O259" s="797">
        <v>46.274814437530587</v>
      </c>
    </row>
    <row r="260" spans="3:15" s="576" customFormat="1">
      <c r="C260" s="796">
        <v>2031</v>
      </c>
      <c r="D260" s="797">
        <v>93.692750413107319</v>
      </c>
      <c r="E260" s="797">
        <v>50.22027708112531</v>
      </c>
      <c r="F260" s="797">
        <v>21.767199086953433</v>
      </c>
      <c r="G260" s="797">
        <v>79.463178132145785</v>
      </c>
      <c r="H260" s="797">
        <v>113.23256834032486</v>
      </c>
      <c r="I260" s="797">
        <v>113.23256834032486</v>
      </c>
      <c r="J260" s="797">
        <v>115.39598085615685</v>
      </c>
      <c r="K260" s="797">
        <v>110.64423733842358</v>
      </c>
      <c r="L260" s="797">
        <v>65.884596633860156</v>
      </c>
      <c r="M260" s="797">
        <v>76.163801701017505</v>
      </c>
      <c r="N260" s="797">
        <v>52.875302226231177</v>
      </c>
      <c r="O260" s="797">
        <v>46.428246784204831</v>
      </c>
    </row>
    <row r="261" spans="3:15" s="576" customFormat="1">
      <c r="C261" s="796">
        <v>2032</v>
      </c>
      <c r="D261" s="797">
        <v>95.558328708367895</v>
      </c>
      <c r="E261" s="797">
        <v>51.310437783572709</v>
      </c>
      <c r="F261" s="797">
        <v>21.825017030148729</v>
      </c>
      <c r="G261" s="797">
        <v>81.328756427406361</v>
      </c>
      <c r="H261" s="797">
        <v>115.09814663558544</v>
      </c>
      <c r="I261" s="797">
        <v>115.09814663558544</v>
      </c>
      <c r="J261" s="797">
        <v>117.26155915141743</v>
      </c>
      <c r="K261" s="797">
        <v>112.50981563368416</v>
      </c>
      <c r="L261" s="797">
        <v>66.08036338926722</v>
      </c>
      <c r="M261" s="797">
        <v>76.390111659646166</v>
      </c>
      <c r="N261" s="797">
        <v>53.138403281373272</v>
      </c>
      <c r="O261" s="797">
        <v>46.581596106146264</v>
      </c>
    </row>
    <row r="262" spans="3:15" s="576" customFormat="1">
      <c r="C262" s="796">
        <v>2033</v>
      </c>
      <c r="D262" s="797">
        <v>97.341047888333435</v>
      </c>
      <c r="E262" s="797">
        <v>52.371455269436716</v>
      </c>
      <c r="F262" s="797">
        <v>21.878276139633737</v>
      </c>
      <c r="G262" s="797">
        <v>83.111475607371901</v>
      </c>
      <c r="H262" s="797">
        <v>116.88086581555098</v>
      </c>
      <c r="I262" s="797">
        <v>116.88086581555098</v>
      </c>
      <c r="J262" s="797">
        <v>119.04427833138297</v>
      </c>
      <c r="K262" s="797">
        <v>114.2925348136497</v>
      </c>
      <c r="L262" s="797">
        <v>66.276021603357506</v>
      </c>
      <c r="M262" s="797">
        <v>76.616296142522543</v>
      </c>
      <c r="N262" s="797">
        <v>53.40184179508779</v>
      </c>
      <c r="O262" s="797">
        <v>46.73486240335491</v>
      </c>
    </row>
    <row r="263" spans="3:15" s="576" customFormat="1">
      <c r="C263" s="796">
        <v>2034</v>
      </c>
      <c r="D263" s="797">
        <v>99.002693402790925</v>
      </c>
      <c r="E263" s="797">
        <v>53.379487378305292</v>
      </c>
      <c r="F263" s="797">
        <v>21.917992887383534</v>
      </c>
      <c r="G263" s="797">
        <v>84.773121121829391</v>
      </c>
      <c r="H263" s="797">
        <v>118.54251133000847</v>
      </c>
      <c r="I263" s="797">
        <v>118.54251133000847</v>
      </c>
      <c r="J263" s="797">
        <v>120.70592384584046</v>
      </c>
      <c r="K263" s="797">
        <v>115.95418032810719</v>
      </c>
      <c r="L263" s="797">
        <v>66.471556138902102</v>
      </c>
      <c r="M263" s="797">
        <v>76.842337650732446</v>
      </c>
      <c r="N263" s="797">
        <v>53.665610427022969</v>
      </c>
      <c r="O263" s="797">
        <v>46.888045675830739</v>
      </c>
    </row>
    <row r="264" spans="3:15" s="576" customFormat="1">
      <c r="C264" s="796">
        <v>2035</v>
      </c>
      <c r="D264" s="797">
        <v>100.59799469913287</v>
      </c>
      <c r="E264" s="797">
        <v>54.366646432213557</v>
      </c>
      <c r="F264" s="797">
        <v>21.9556878669204</v>
      </c>
      <c r="G264" s="797">
        <v>86.368422418171335</v>
      </c>
      <c r="H264" s="797">
        <v>120.13781262635041</v>
      </c>
      <c r="I264" s="797">
        <v>120.13781262635041</v>
      </c>
      <c r="J264" s="797">
        <v>122.3012251421824</v>
      </c>
      <c r="K264" s="797">
        <v>117.54948162444913</v>
      </c>
      <c r="L264" s="797">
        <v>66.66695199165018</v>
      </c>
      <c r="M264" s="797">
        <v>77.068218839086825</v>
      </c>
      <c r="N264" s="797">
        <v>53.929701909080514</v>
      </c>
      <c r="O264" s="797">
        <v>47.041145923573744</v>
      </c>
    </row>
    <row r="265" spans="3:15" s="576" customFormat="1">
      <c r="C265" s="796">
        <v>2036</v>
      </c>
      <c r="D265" s="797">
        <v>102.09020115332861</v>
      </c>
      <c r="E265" s="797">
        <v>56.021566478043873</v>
      </c>
      <c r="F265" s="797">
        <v>22.029714738820417</v>
      </c>
      <c r="G265" s="797">
        <v>87.860628872367073</v>
      </c>
      <c r="H265" s="797">
        <v>121.63001908054615</v>
      </c>
      <c r="I265" s="797">
        <v>121.63001908054615</v>
      </c>
      <c r="J265" s="797">
        <v>123.79343159637814</v>
      </c>
      <c r="K265" s="797">
        <v>119.04168807864487</v>
      </c>
      <c r="L265" s="797">
        <v>66.829694828730965</v>
      </c>
      <c r="M265" s="797">
        <v>77.256352542637686</v>
      </c>
      <c r="N265" s="797">
        <v>54.174250889852274</v>
      </c>
      <c r="O265" s="797">
        <v>47.184184641373889</v>
      </c>
    </row>
    <row r="266" spans="3:15" s="576" customFormat="1">
      <c r="C266" s="796">
        <v>2037</v>
      </c>
      <c r="D266" s="797">
        <v>103.53602848432692</v>
      </c>
      <c r="E266" s="797">
        <v>56.643484305507364</v>
      </c>
      <c r="F266" s="797">
        <v>22.099296654325173</v>
      </c>
      <c r="G266" s="797">
        <v>89.306456203365386</v>
      </c>
      <c r="H266" s="797">
        <v>123.07584641154446</v>
      </c>
      <c r="I266" s="797">
        <v>123.07584641154446</v>
      </c>
      <c r="J266" s="797">
        <v>125.23925892737645</v>
      </c>
      <c r="K266" s="797">
        <v>120.48751540964318</v>
      </c>
      <c r="L266" s="797">
        <v>66.992074665035901</v>
      </c>
      <c r="M266" s="797">
        <v>77.444066610636042</v>
      </c>
      <c r="N266" s="797">
        <v>54.41888572733636</v>
      </c>
      <c r="O266" s="797">
        <v>47.327158784381858</v>
      </c>
    </row>
    <row r="267" spans="3:15" s="576" customFormat="1">
      <c r="C267" s="796">
        <v>2038</v>
      </c>
      <c r="D267" s="797">
        <v>104.86648319780612</v>
      </c>
      <c r="E267" s="797">
        <v>57.206292482675018</v>
      </c>
      <c r="F267" s="797">
        <v>22.153632116105896</v>
      </c>
      <c r="G267" s="797">
        <v>90.636910916844585</v>
      </c>
      <c r="H267" s="797">
        <v>124.40630112502366</v>
      </c>
      <c r="I267" s="797">
        <v>124.40630112502366</v>
      </c>
      <c r="J267" s="797">
        <v>126.56971364085565</v>
      </c>
      <c r="K267" s="797">
        <v>121.81797012312238</v>
      </c>
      <c r="L267" s="797">
        <v>67.154082323490499</v>
      </c>
      <c r="M267" s="797">
        <v>77.631350434215534</v>
      </c>
      <c r="N267" s="797">
        <v>54.663599201289209</v>
      </c>
      <c r="O267" s="797">
        <v>47.470068352597629</v>
      </c>
    </row>
    <row r="268" spans="3:15" s="576" customFormat="1">
      <c r="C268" s="796">
        <v>2039</v>
      </c>
      <c r="D268" s="797">
        <v>106.13404097693454</v>
      </c>
      <c r="E268" s="797">
        <v>57.740541471904386</v>
      </c>
      <c r="F268" s="797">
        <v>22.203402762241502</v>
      </c>
      <c r="G268" s="797">
        <v>91.904468695973009</v>
      </c>
      <c r="H268" s="797">
        <v>125.67385890415208</v>
      </c>
      <c r="I268" s="797">
        <v>125.67385890415208</v>
      </c>
      <c r="J268" s="797">
        <v>127.83727141998408</v>
      </c>
      <c r="K268" s="797">
        <v>123.0855279022508</v>
      </c>
      <c r="L268" s="797">
        <v>67.315708706874133</v>
      </c>
      <c r="M268" s="797">
        <v>77.818193496822346</v>
      </c>
      <c r="N268" s="797">
        <v>54.908384160416688</v>
      </c>
      <c r="O268" s="797">
        <v>47.612913346021223</v>
      </c>
    </row>
    <row r="269" spans="3:15" s="576" customFormat="1">
      <c r="C269" s="796">
        <v>2040</v>
      </c>
      <c r="D269" s="797">
        <v>107.30502693993807</v>
      </c>
      <c r="E269" s="797">
        <v>58.226230553747364</v>
      </c>
      <c r="F269" s="797">
        <v>22.241349337329673</v>
      </c>
      <c r="G269" s="797">
        <v>93.07545465897654</v>
      </c>
      <c r="H269" s="797">
        <v>126.84484486715562</v>
      </c>
      <c r="I269" s="797">
        <v>126.84484486715562</v>
      </c>
      <c r="J269" s="797">
        <v>129.00825738298761</v>
      </c>
      <c r="K269" s="797">
        <v>124.25651386525433</v>
      </c>
      <c r="L269" s="797">
        <v>67.476944797280851</v>
      </c>
      <c r="M269" s="797">
        <v>78.004585373591794</v>
      </c>
      <c r="N269" s="797">
        <v>55.153233521655096</v>
      </c>
      <c r="O269" s="797">
        <v>47.755693764652648</v>
      </c>
    </row>
    <row r="270" spans="3:15" s="576" customFormat="1">
      <c r="C270" s="798" t="s">
        <v>1151</v>
      </c>
      <c r="D270" s="577"/>
      <c r="E270" s="577"/>
      <c r="F270" s="577"/>
      <c r="G270" s="577"/>
      <c r="H270" s="577"/>
      <c r="I270" s="577"/>
      <c r="J270" s="577"/>
      <c r="K270" s="577"/>
      <c r="L270" s="577"/>
      <c r="M270" s="577"/>
      <c r="N270" s="577"/>
      <c r="O270" s="577"/>
    </row>
    <row r="271" spans="3:15" s="576" customFormat="1">
      <c r="C271" s="574"/>
      <c r="D271" s="577"/>
      <c r="E271" s="577"/>
      <c r="F271" s="577"/>
      <c r="G271" s="577"/>
      <c r="H271" s="577"/>
      <c r="I271" s="577"/>
      <c r="J271" s="577"/>
      <c r="K271" s="577"/>
      <c r="L271" s="577"/>
      <c r="M271" s="577"/>
      <c r="N271" s="577"/>
      <c r="O271" s="577"/>
    </row>
    <row r="272" spans="3:15" s="576" customFormat="1">
      <c r="E272" s="574"/>
      <c r="F272" s="577"/>
    </row>
    <row r="273" spans="3:16" s="576" customFormat="1">
      <c r="E273" s="574"/>
      <c r="F273" s="577"/>
    </row>
    <row r="274" spans="3:16" s="576" customFormat="1" ht="21">
      <c r="C274" s="799" t="s">
        <v>1152</v>
      </c>
      <c r="D274" s="576" t="s">
        <v>97</v>
      </c>
      <c r="E274" s="576" t="s">
        <v>41</v>
      </c>
      <c r="F274" s="576" t="s">
        <v>40</v>
      </c>
      <c r="G274" s="576" t="s">
        <v>44</v>
      </c>
      <c r="I274" s="576" t="s">
        <v>45</v>
      </c>
      <c r="J274" s="576" t="s">
        <v>80</v>
      </c>
      <c r="K274" s="576" t="s">
        <v>83</v>
      </c>
      <c r="M274" s="576" t="s">
        <v>76</v>
      </c>
      <c r="N274" s="576" t="s">
        <v>77</v>
      </c>
      <c r="O274" s="576" t="s">
        <v>43</v>
      </c>
    </row>
    <row r="275" spans="3:16" s="576" customFormat="1">
      <c r="C275" s="800" t="s">
        <v>1142</v>
      </c>
      <c r="D275" s="801"/>
      <c r="E275" s="802"/>
      <c r="F275" s="802"/>
      <c r="G275" s="802"/>
      <c r="H275" s="802"/>
      <c r="I275" s="802"/>
      <c r="J275" s="802"/>
      <c r="K275" s="802"/>
      <c r="L275" s="802"/>
      <c r="M275" s="802"/>
      <c r="N275" s="803"/>
      <c r="O275" s="804"/>
    </row>
    <row r="276" spans="3:16" s="576" customFormat="1" ht="24.75" thickBot="1">
      <c r="C276" s="800"/>
      <c r="D276" s="794" t="s">
        <v>489</v>
      </c>
      <c r="E276" s="795" t="s">
        <v>483</v>
      </c>
      <c r="F276" s="794" t="s">
        <v>488</v>
      </c>
      <c r="G276" s="794" t="s">
        <v>1145</v>
      </c>
      <c r="H276" s="794" t="s">
        <v>1146</v>
      </c>
      <c r="I276" s="794" t="s">
        <v>51</v>
      </c>
      <c r="J276" s="794" t="s">
        <v>1147</v>
      </c>
      <c r="K276" s="794" t="s">
        <v>204</v>
      </c>
      <c r="L276" s="795" t="s">
        <v>1148</v>
      </c>
      <c r="M276" s="795" t="s">
        <v>1149</v>
      </c>
      <c r="N276" s="795" t="s">
        <v>1150</v>
      </c>
      <c r="O276" s="804" t="s">
        <v>481</v>
      </c>
      <c r="P276" s="795" t="s">
        <v>1153</v>
      </c>
    </row>
    <row r="277" spans="3:16" s="576" customFormat="1" ht="13.5" thickBot="1">
      <c r="C277" s="796">
        <v>2018</v>
      </c>
      <c r="D277" s="797">
        <v>78.592912119302227</v>
      </c>
      <c r="E277" s="805">
        <v>53.422183381850253</v>
      </c>
      <c r="F277" s="805">
        <v>22.935796128023767</v>
      </c>
      <c r="G277" s="805">
        <v>67.735141438725293</v>
      </c>
      <c r="H277" s="805">
        <v>101.50107579472352</v>
      </c>
      <c r="I277" s="797">
        <v>101.50107579472352</v>
      </c>
      <c r="J277" s="797">
        <v>102.40107579472352</v>
      </c>
      <c r="K277" s="797">
        <v>99.501075794723519</v>
      </c>
      <c r="L277" s="797">
        <v>69.494890781791952</v>
      </c>
      <c r="M277" s="797">
        <v>69.494890781791952</v>
      </c>
      <c r="N277" s="797">
        <v>45.179472202489855</v>
      </c>
      <c r="O277" s="806">
        <v>41.634898055339931</v>
      </c>
      <c r="P277" s="797">
        <v>1.018306654608963</v>
      </c>
    </row>
    <row r="278" spans="3:16" s="576" customFormat="1">
      <c r="C278" s="796">
        <v>2019</v>
      </c>
      <c r="D278" s="797">
        <v>72.66780821917807</v>
      </c>
      <c r="E278" s="805">
        <v>34.261011240620462</v>
      </c>
      <c r="F278" s="805">
        <v>15.532766006190153</v>
      </c>
      <c r="G278" s="805">
        <v>61.821029259474152</v>
      </c>
      <c r="H278" s="805">
        <v>95.586963615472371</v>
      </c>
      <c r="I278" s="797">
        <v>95.586963615472371</v>
      </c>
      <c r="J278" s="797">
        <v>97.746963615472367</v>
      </c>
      <c r="K278" s="797">
        <v>92.996963615472367</v>
      </c>
      <c r="L278" s="797">
        <v>69.433019142282461</v>
      </c>
      <c r="M278" s="797">
        <v>79.702433091587693</v>
      </c>
      <c r="N278" s="797">
        <v>45.117600562980392</v>
      </c>
      <c r="O278" s="806">
        <v>41.634898055339931</v>
      </c>
      <c r="P278" s="797">
        <v>0.99989766317485917</v>
      </c>
    </row>
    <row r="279" spans="3:16" s="576" customFormat="1">
      <c r="C279" s="796">
        <v>2020</v>
      </c>
      <c r="D279" s="797">
        <v>71.191547947610658</v>
      </c>
      <c r="E279" s="805">
        <v>33.397849986482257</v>
      </c>
      <c r="F279" s="805">
        <v>12.929551889587877</v>
      </c>
      <c r="G279" s="805">
        <v>60.341090730548601</v>
      </c>
      <c r="H279" s="805">
        <v>94.107025086546813</v>
      </c>
      <c r="I279" s="797">
        <v>94.107025086546813</v>
      </c>
      <c r="J279" s="797">
        <v>96.267025086546809</v>
      </c>
      <c r="K279" s="797">
        <v>91.517025086546809</v>
      </c>
      <c r="L279" s="797">
        <v>59.910194122791161</v>
      </c>
      <c r="M279" s="797">
        <v>70.05883849089301</v>
      </c>
      <c r="N279" s="797">
        <v>45.248389703133633</v>
      </c>
      <c r="O279" s="807">
        <v>41.962449107096752</v>
      </c>
      <c r="P279" s="797">
        <v>0.97786502855281787</v>
      </c>
    </row>
    <row r="280" spans="3:16" s="576" customFormat="1">
      <c r="C280" s="796">
        <v>2021</v>
      </c>
      <c r="D280" s="797">
        <v>49.181117057429148</v>
      </c>
      <c r="E280" s="805">
        <v>31.525290025438199</v>
      </c>
      <c r="F280" s="805">
        <v>13.166058954324894</v>
      </c>
      <c r="G280" s="805">
        <v>38.35700531918522</v>
      </c>
      <c r="H280" s="805">
        <v>72.122939675183432</v>
      </c>
      <c r="I280" s="797">
        <v>72.122939675183432</v>
      </c>
      <c r="J280" s="797">
        <v>74.282939675183428</v>
      </c>
      <c r="K280" s="797">
        <v>69.532939675183428</v>
      </c>
      <c r="L280" s="797">
        <v>62.854344413402906</v>
      </c>
      <c r="M280" s="797">
        <v>72.96988813207048</v>
      </c>
      <c r="N280" s="797">
        <v>45.190250127598674</v>
      </c>
      <c r="O280" s="807">
        <v>42.37591413450582</v>
      </c>
      <c r="P280" s="797">
        <v>0.96452741381447771</v>
      </c>
    </row>
    <row r="281" spans="3:16" s="576" customFormat="1">
      <c r="C281" s="796">
        <v>2022</v>
      </c>
      <c r="D281" s="797">
        <v>52.581323432074825</v>
      </c>
      <c r="E281" s="805">
        <v>32.762548621541896</v>
      </c>
      <c r="F281" s="805">
        <v>13.673473481430243</v>
      </c>
      <c r="G281" s="805">
        <v>41.765504189889249</v>
      </c>
      <c r="H281" s="805">
        <v>75.531438545887454</v>
      </c>
      <c r="I281" s="797">
        <v>75.531438545887454</v>
      </c>
      <c r="J281" s="797">
        <v>77.691438545887451</v>
      </c>
      <c r="K281" s="797">
        <v>72.941438545887451</v>
      </c>
      <c r="L281" s="797">
        <v>63.172513966646889</v>
      </c>
      <c r="M281" s="797">
        <v>73.266464764716645</v>
      </c>
      <c r="N281" s="797">
        <v>45.392121473736516</v>
      </c>
      <c r="O281" s="807">
        <v>42.791201303703261</v>
      </c>
      <c r="P281" s="797">
        <v>0.94807328173912164</v>
      </c>
    </row>
    <row r="282" spans="3:16" s="576" customFormat="1">
      <c r="C282" s="796">
        <v>2023</v>
      </c>
      <c r="D282" s="797">
        <v>54.889966476332738</v>
      </c>
      <c r="E282" s="805">
        <v>33.367688312875465</v>
      </c>
      <c r="F282" s="805">
        <v>14.173926683886389</v>
      </c>
      <c r="G282" s="805">
        <v>44.088588085044584</v>
      </c>
      <c r="H282" s="805">
        <v>77.854522441042789</v>
      </c>
      <c r="I282" s="797">
        <v>77.854522441042789</v>
      </c>
      <c r="J282" s="797">
        <v>80.014522441042786</v>
      </c>
      <c r="K282" s="797">
        <v>75.264522441042786</v>
      </c>
      <c r="L282" s="797">
        <v>62.478874618815077</v>
      </c>
      <c r="M282" s="797">
        <v>72.556552851440529</v>
      </c>
      <c r="N282" s="797">
        <v>45.644433925671841</v>
      </c>
      <c r="O282" s="807">
        <v>43.208184541451871</v>
      </c>
      <c r="P282" s="797">
        <v>0.93311916436423892</v>
      </c>
    </row>
    <row r="283" spans="3:16" s="576" customFormat="1">
      <c r="C283" s="796">
        <v>2024</v>
      </c>
      <c r="D283" s="797">
        <v>56.568388062461416</v>
      </c>
      <c r="E283" s="805">
        <v>33.567123920362071</v>
      </c>
      <c r="F283" s="805">
        <v>14.64740072098045</v>
      </c>
      <c r="G283" s="805">
        <v>45.786797230009718</v>
      </c>
      <c r="H283" s="805">
        <v>79.552731586007937</v>
      </c>
      <c r="I283" s="797">
        <v>79.552731586007937</v>
      </c>
      <c r="J283" s="797">
        <v>81.712731586007934</v>
      </c>
      <c r="K283" s="797">
        <v>76.962731586007934</v>
      </c>
      <c r="L283" s="797">
        <v>62.142339464339834</v>
      </c>
      <c r="M283" s="797">
        <v>72.210497880380103</v>
      </c>
      <c r="N283" s="797">
        <v>45.923015098100862</v>
      </c>
      <c r="O283" s="807">
        <v>43.626739530646304</v>
      </c>
      <c r="P283" s="797">
        <v>0.92005871726274913</v>
      </c>
    </row>
    <row r="284" spans="3:16" s="576" customFormat="1">
      <c r="C284" s="796">
        <v>2025</v>
      </c>
      <c r="D284" s="797">
        <v>57.786429057350325</v>
      </c>
      <c r="E284" s="805">
        <v>33.506083462913665</v>
      </c>
      <c r="F284" s="805">
        <v>14.580898828103843</v>
      </c>
      <c r="G284" s="805">
        <v>47.023275056537912</v>
      </c>
      <c r="H284" s="805">
        <v>80.789209412536124</v>
      </c>
      <c r="I284" s="797">
        <v>80.789209412536124</v>
      </c>
      <c r="J284" s="797">
        <v>82.949209412536121</v>
      </c>
      <c r="K284" s="797">
        <v>78.199209412536121</v>
      </c>
      <c r="L284" s="797">
        <v>61.840436911371611</v>
      </c>
      <c r="M284" s="797">
        <v>71.898055834432554</v>
      </c>
      <c r="N284" s="797">
        <v>46.207001444406053</v>
      </c>
      <c r="O284" s="807">
        <v>44.046743692103149</v>
      </c>
      <c r="P284" s="797">
        <v>0.90676241471011532</v>
      </c>
    </row>
    <row r="285" spans="3:16" s="576" customFormat="1">
      <c r="C285" s="796">
        <v>2026</v>
      </c>
      <c r="D285" s="797">
        <v>59.146270171698553</v>
      </c>
      <c r="E285" s="805">
        <v>33.467639204304064</v>
      </c>
      <c r="F285" s="805">
        <v>14.5316584938834</v>
      </c>
      <c r="G285" s="805">
        <v>48.388738394847046</v>
      </c>
      <c r="H285" s="805">
        <v>82.154672750845265</v>
      </c>
      <c r="I285" s="797">
        <v>82.154672750845265</v>
      </c>
      <c r="J285" s="797">
        <v>84.314672750845261</v>
      </c>
      <c r="K285" s="797">
        <v>79.564672750845261</v>
      </c>
      <c r="L285" s="797">
        <v>61.559038676176264</v>
      </c>
      <c r="M285" s="797">
        <v>71.654987558314588</v>
      </c>
      <c r="N285" s="797">
        <v>46.419730980267232</v>
      </c>
      <c r="O285" s="807">
        <v>44.303492323512977</v>
      </c>
      <c r="P285" s="797">
        <v>0.89032177619719322</v>
      </c>
    </row>
    <row r="286" spans="3:16" s="576" customFormat="1">
      <c r="C286" s="796">
        <v>2027</v>
      </c>
      <c r="D286" s="797">
        <v>60.478046986869018</v>
      </c>
      <c r="E286" s="805">
        <v>33.442947086231669</v>
      </c>
      <c r="F286" s="805">
        <v>14.477230593088336</v>
      </c>
      <c r="G286" s="805">
        <v>49.726877161691675</v>
      </c>
      <c r="H286" s="805">
        <v>83.492811517689887</v>
      </c>
      <c r="I286" s="797">
        <v>83.492811517689887</v>
      </c>
      <c r="J286" s="797">
        <v>85.652811517689884</v>
      </c>
      <c r="K286" s="797">
        <v>80.902811517689884</v>
      </c>
      <c r="L286" s="797">
        <v>61.304552221855602</v>
      </c>
      <c r="M286" s="797">
        <v>71.438770667888747</v>
      </c>
      <c r="N286" s="797">
        <v>46.631059323825987</v>
      </c>
      <c r="O286" s="807">
        <v>44.56044844066794</v>
      </c>
      <c r="P286" s="797">
        <v>0.87425828973292308</v>
      </c>
    </row>
    <row r="287" spans="3:16" s="576" customFormat="1">
      <c r="C287" s="796">
        <v>2028</v>
      </c>
      <c r="D287" s="797">
        <v>61.703174257304624</v>
      </c>
      <c r="E287" s="805">
        <v>33.42179959045346</v>
      </c>
      <c r="F287" s="805">
        <v>14.413190648189367</v>
      </c>
      <c r="G287" s="805">
        <v>50.957998458731836</v>
      </c>
      <c r="H287" s="805">
        <v>84.723932814730048</v>
      </c>
      <c r="I287" s="797">
        <v>84.723932814730048</v>
      </c>
      <c r="J287" s="797">
        <v>86.883932814730045</v>
      </c>
      <c r="K287" s="797">
        <v>82.133932814730045</v>
      </c>
      <c r="L287" s="797">
        <v>61.075127920444082</v>
      </c>
      <c r="M287" s="797">
        <v>71.247553781993901</v>
      </c>
      <c r="N287" s="797">
        <v>46.839924523073165</v>
      </c>
      <c r="O287" s="807">
        <v>44.817607952103295</v>
      </c>
      <c r="P287" s="797">
        <v>0.85823047344328252</v>
      </c>
    </row>
    <row r="288" spans="3:16" s="576" customFormat="1">
      <c r="C288" s="796">
        <v>2029</v>
      </c>
      <c r="D288" s="797">
        <v>62.989602327697277</v>
      </c>
      <c r="E288" s="805">
        <v>33.414220248022303</v>
      </c>
      <c r="F288" s="805">
        <v>14.343963605486476</v>
      </c>
      <c r="G288" s="805">
        <v>52.250750345664912</v>
      </c>
      <c r="H288" s="805">
        <v>86.016684701663124</v>
      </c>
      <c r="I288" s="797">
        <v>86.016684701663124</v>
      </c>
      <c r="J288" s="797">
        <v>88.17668470166312</v>
      </c>
      <c r="K288" s="797">
        <v>83.42668470166312</v>
      </c>
      <c r="L288" s="797">
        <v>60.879811326662022</v>
      </c>
      <c r="M288" s="797">
        <v>71.090380717662555</v>
      </c>
      <c r="N288" s="797">
        <v>47.054043906757286</v>
      </c>
      <c r="O288" s="807">
        <v>45.074966809344929</v>
      </c>
      <c r="P288" s="797">
        <v>0.84270389124070177</v>
      </c>
    </row>
    <row r="289" spans="3:16" s="576" customFormat="1">
      <c r="C289" s="796">
        <v>2030</v>
      </c>
      <c r="D289" s="797">
        <v>64.209121548162642</v>
      </c>
      <c r="E289" s="805">
        <v>33.412152610409883</v>
      </c>
      <c r="F289" s="805">
        <v>14.266503152082981</v>
      </c>
      <c r="G289" s="805">
        <v>53.473940246602353</v>
      </c>
      <c r="H289" s="805">
        <v>87.239874602600565</v>
      </c>
      <c r="I289" s="797">
        <v>87.239874602600565</v>
      </c>
      <c r="J289" s="797">
        <v>89.399874602600562</v>
      </c>
      <c r="K289" s="797">
        <v>84.649874602600562</v>
      </c>
      <c r="L289" s="797">
        <v>60.705878120268423</v>
      </c>
      <c r="M289" s="797">
        <v>70.954525432358807</v>
      </c>
      <c r="N289" s="797">
        <v>47.263106384197172</v>
      </c>
      <c r="O289" s="807">
        <v>45.332521006394593</v>
      </c>
      <c r="P289" s="797">
        <v>0.8270052796536449</v>
      </c>
    </row>
    <row r="290" spans="3:16" s="576" customFormat="1">
      <c r="C290" s="796">
        <v>2031</v>
      </c>
      <c r="D290" s="797">
        <v>63.901532941943884</v>
      </c>
      <c r="E290" s="805">
        <v>33.458238338148384</v>
      </c>
      <c r="F290" s="805">
        <v>14.23069306413351</v>
      </c>
      <c r="G290" s="805">
        <v>53.16779648439951</v>
      </c>
      <c r="H290" s="805">
        <v>86.933730840397715</v>
      </c>
      <c r="I290" s="797">
        <v>86.933730840397715</v>
      </c>
      <c r="J290" s="797">
        <v>89.093730840397711</v>
      </c>
      <c r="K290" s="797">
        <v>84.343730840397711</v>
      </c>
      <c r="L290" s="797">
        <v>60.70433047636952</v>
      </c>
      <c r="M290" s="797">
        <v>70.98353554352687</v>
      </c>
      <c r="N290" s="797">
        <v>47.363169268373781</v>
      </c>
      <c r="O290" s="807">
        <v>45.549544275390517</v>
      </c>
      <c r="P290" s="797">
        <v>0.81075933244600917</v>
      </c>
    </row>
    <row r="291" spans="3:16" s="576" customFormat="1">
      <c r="C291" s="796">
        <v>2032</v>
      </c>
      <c r="D291" s="797">
        <v>63.593944335725141</v>
      </c>
      <c r="E291" s="805">
        <v>33.504324065886884</v>
      </c>
      <c r="F291" s="805">
        <v>14.195037264254136</v>
      </c>
      <c r="G291" s="805">
        <v>52.860920537900107</v>
      </c>
      <c r="H291" s="805">
        <v>86.626854893898326</v>
      </c>
      <c r="I291" s="797">
        <v>86.626854893898326</v>
      </c>
      <c r="J291" s="797">
        <v>88.786854893898322</v>
      </c>
      <c r="K291" s="797">
        <v>84.036854893898322</v>
      </c>
      <c r="L291" s="797">
        <v>60.702548817291905</v>
      </c>
      <c r="M291" s="797">
        <v>71.012297087670845</v>
      </c>
      <c r="N291" s="797">
        <v>47.463048827686151</v>
      </c>
      <c r="O291" s="807">
        <v>45.766845997017583</v>
      </c>
      <c r="P291" s="797">
        <v>0.79472100056409223</v>
      </c>
    </row>
    <row r="292" spans="3:16" s="576" customFormat="1">
      <c r="C292" s="796">
        <v>2033</v>
      </c>
      <c r="D292" s="797">
        <v>63.286355729506404</v>
      </c>
      <c r="E292" s="805">
        <v>33.550409793625377</v>
      </c>
      <c r="F292" s="805">
        <v>14.159114470166005</v>
      </c>
      <c r="G292" s="805">
        <v>52.55531163017308</v>
      </c>
      <c r="H292" s="805">
        <v>86.321245986171292</v>
      </c>
      <c r="I292" s="797">
        <v>86.321245986171292</v>
      </c>
      <c r="J292" s="797">
        <v>88.481245986171288</v>
      </c>
      <c r="K292" s="797">
        <v>83.731245986171288</v>
      </c>
      <c r="L292" s="797">
        <v>60.700536499539886</v>
      </c>
      <c r="M292" s="797">
        <v>71.040811038704931</v>
      </c>
      <c r="N292" s="797">
        <v>47.562746231205452</v>
      </c>
      <c r="O292" s="807">
        <v>45.93621057509371</v>
      </c>
      <c r="P292" s="797">
        <v>0.77922098994212197</v>
      </c>
    </row>
    <row r="293" spans="3:16" s="576" customFormat="1">
      <c r="C293" s="796">
        <v>2034</v>
      </c>
      <c r="D293" s="797">
        <v>62.978767123287653</v>
      </c>
      <c r="E293" s="805">
        <v>33.59649552136387</v>
      </c>
      <c r="F293" s="805">
        <v>14.123353426479357</v>
      </c>
      <c r="G293" s="805">
        <v>52.248935125159633</v>
      </c>
      <c r="H293" s="805">
        <v>86.014869481157845</v>
      </c>
      <c r="I293" s="797">
        <v>86.014869481157845</v>
      </c>
      <c r="J293" s="797">
        <v>88.174869481157842</v>
      </c>
      <c r="K293" s="797">
        <v>83.424869481157842</v>
      </c>
      <c r="L293" s="797">
        <v>60.698296822060883</v>
      </c>
      <c r="M293" s="797">
        <v>71.069078333891227</v>
      </c>
      <c r="N293" s="797">
        <v>47.662262629564232</v>
      </c>
      <c r="O293" s="807">
        <v>46.091987325464736</v>
      </c>
      <c r="P293" s="797">
        <v>0.76390612340968655</v>
      </c>
    </row>
    <row r="294" spans="3:16" s="576" customFormat="1">
      <c r="C294" s="796">
        <v>2035</v>
      </c>
      <c r="D294" s="797">
        <v>62.671178517068917</v>
      </c>
      <c r="E294" s="805">
        <v>33.642581249102378</v>
      </c>
      <c r="F294" s="805">
        <v>14.087572006623748</v>
      </c>
      <c r="G294" s="805">
        <v>51.942655316610988</v>
      </c>
      <c r="H294" s="805">
        <v>85.708589672609207</v>
      </c>
      <c r="I294" s="797">
        <v>85.708589672609207</v>
      </c>
      <c r="J294" s="797">
        <v>87.868589672609204</v>
      </c>
      <c r="K294" s="797">
        <v>83.118589672609204</v>
      </c>
      <c r="L294" s="797">
        <v>60.695833026853684</v>
      </c>
      <c r="M294" s="797">
        <v>71.097099874290336</v>
      </c>
      <c r="N294" s="797">
        <v>47.761599155151828</v>
      </c>
      <c r="O294" s="807">
        <v>46.247727566987081</v>
      </c>
      <c r="P294" s="797">
        <v>0.74916462069632617</v>
      </c>
    </row>
    <row r="295" spans="3:16" s="576" customFormat="1">
      <c r="C295" s="796">
        <v>2036</v>
      </c>
      <c r="D295" s="797">
        <v>62.363589910850173</v>
      </c>
      <c r="E295" s="805">
        <v>33.688666976840878</v>
      </c>
      <c r="F295" s="805">
        <v>14.051985690698709</v>
      </c>
      <c r="G295" s="805">
        <v>51.635449629385747</v>
      </c>
      <c r="H295" s="805">
        <v>85.401383985383958</v>
      </c>
      <c r="I295" s="797">
        <v>85.401383985383958</v>
      </c>
      <c r="J295" s="797">
        <v>87.561383985383955</v>
      </c>
      <c r="K295" s="797">
        <v>82.811383985383955</v>
      </c>
      <c r="L295" s="797">
        <v>60.689945389690699</v>
      </c>
      <c r="M295" s="797">
        <v>71.116603103597413</v>
      </c>
      <c r="N295" s="797">
        <v>47.861557709026719</v>
      </c>
      <c r="O295" s="807">
        <v>46.390503884981669</v>
      </c>
      <c r="P295" s="797">
        <v>0.73451354156952464</v>
      </c>
    </row>
    <row r="296" spans="3:16" s="576" customFormat="1">
      <c r="C296" s="796">
        <v>2037</v>
      </c>
      <c r="D296" s="797">
        <v>62.056001304631437</v>
      </c>
      <c r="E296" s="805">
        <v>33.734752704579364</v>
      </c>
      <c r="F296" s="805">
        <v>14.016171250456402</v>
      </c>
      <c r="G296" s="805">
        <v>51.329326521277956</v>
      </c>
      <c r="H296" s="805">
        <v>85.095260877276161</v>
      </c>
      <c r="I296" s="797">
        <v>85.095260877276161</v>
      </c>
      <c r="J296" s="797">
        <v>87.255260877276157</v>
      </c>
      <c r="K296" s="797">
        <v>82.505260877276157</v>
      </c>
      <c r="L296" s="797">
        <v>60.683892039969457</v>
      </c>
      <c r="M296" s="797">
        <v>71.135883985569592</v>
      </c>
      <c r="N296" s="797">
        <v>47.961224086497161</v>
      </c>
      <c r="O296" s="807">
        <v>46.533237561648519</v>
      </c>
      <c r="P296" s="797">
        <v>0.7203713017339497</v>
      </c>
    </row>
    <row r="297" spans="3:16" s="576" customFormat="1">
      <c r="C297" s="796">
        <v>2038</v>
      </c>
      <c r="D297" s="797">
        <v>61.7484126984127</v>
      </c>
      <c r="E297" s="805">
        <v>33.780838432317864</v>
      </c>
      <c r="F297" s="805">
        <v>13.980510738351196</v>
      </c>
      <c r="G297" s="805">
        <v>51.022472936959623</v>
      </c>
      <c r="H297" s="805">
        <v>84.788407292957842</v>
      </c>
      <c r="I297" s="797">
        <v>84.788407292957842</v>
      </c>
      <c r="J297" s="797">
        <v>86.948407292957839</v>
      </c>
      <c r="K297" s="797">
        <v>82.198407292957839</v>
      </c>
      <c r="L297" s="797">
        <v>60.677675969854107</v>
      </c>
      <c r="M297" s="797">
        <v>71.154944080579142</v>
      </c>
      <c r="N297" s="797">
        <v>48.06060022028862</v>
      </c>
      <c r="O297" s="807">
        <v>46.675927978934773</v>
      </c>
      <c r="P297" s="797">
        <v>0.70635417245409327</v>
      </c>
    </row>
    <row r="298" spans="3:16" s="576" customFormat="1">
      <c r="C298" s="796">
        <v>2039</v>
      </c>
      <c r="D298" s="797">
        <v>61.440824092193949</v>
      </c>
      <c r="E298" s="805">
        <v>33.82692416005635</v>
      </c>
      <c r="F298" s="805">
        <v>13.944654498795146</v>
      </c>
      <c r="G298" s="805">
        <v>50.716548190274779</v>
      </c>
      <c r="H298" s="805">
        <v>84.48248254627299</v>
      </c>
      <c r="I298" s="797">
        <v>84.48248254627299</v>
      </c>
      <c r="J298" s="797">
        <v>86.642482546272987</v>
      </c>
      <c r="K298" s="797">
        <v>81.892482546272987</v>
      </c>
      <c r="L298" s="797">
        <v>60.671300113152753</v>
      </c>
      <c r="M298" s="797">
        <v>71.173784903100966</v>
      </c>
      <c r="N298" s="797">
        <v>48.159688016832391</v>
      </c>
      <c r="O298" s="807">
        <v>46.818574524689666</v>
      </c>
      <c r="P298" s="797">
        <v>0.69279308789802307</v>
      </c>
    </row>
    <row r="299" spans="3:16" s="576" customFormat="1" ht="13.5" thickBot="1">
      <c r="C299" s="796">
        <v>2040</v>
      </c>
      <c r="D299" s="797">
        <v>61.133235485975206</v>
      </c>
      <c r="E299" s="805">
        <v>33.873009887794851</v>
      </c>
      <c r="F299" s="805">
        <v>13.908861871625055</v>
      </c>
      <c r="G299" s="805">
        <v>50.410321566782294</v>
      </c>
      <c r="H299" s="805">
        <v>84.176255922780513</v>
      </c>
      <c r="I299" s="797">
        <v>84.176255922780513</v>
      </c>
      <c r="J299" s="797">
        <v>86.336255922780509</v>
      </c>
      <c r="K299" s="797">
        <v>81.586255922780509</v>
      </c>
      <c r="L299" s="797">
        <v>60.664767346129707</v>
      </c>
      <c r="M299" s="797">
        <v>71.192407922440651</v>
      </c>
      <c r="N299" s="797">
        <v>48.258489356547372</v>
      </c>
      <c r="O299" s="808">
        <v>46.961176592602918</v>
      </c>
      <c r="P299" s="797">
        <v>0.67943380134157572</v>
      </c>
    </row>
    <row r="300" spans="3:16" s="576" customFormat="1" ht="13.5" thickBot="1">
      <c r="C300" s="796">
        <v>2041</v>
      </c>
      <c r="D300" s="797">
        <v>60.825646879756469</v>
      </c>
      <c r="E300" s="805">
        <v>33.919095615533351</v>
      </c>
      <c r="F300" s="805">
        <v>13.873069138182171</v>
      </c>
      <c r="G300" s="805">
        <v>50.104095447614391</v>
      </c>
      <c r="H300" s="805">
        <v>83.87002980361261</v>
      </c>
      <c r="I300" s="797">
        <v>83.87002980361261</v>
      </c>
      <c r="J300" s="797">
        <v>86.030029803612607</v>
      </c>
      <c r="K300" s="797">
        <v>81.280029803612607</v>
      </c>
      <c r="L300" s="797">
        <v>60.675957923099851</v>
      </c>
      <c r="M300" s="797">
        <v>60.675957923099851</v>
      </c>
      <c r="N300" s="797">
        <v>48.37762671431922</v>
      </c>
      <c r="O300" s="808">
        <v>46.961176592602918</v>
      </c>
      <c r="P300" s="797">
        <v>0.66633212494379612</v>
      </c>
    </row>
    <row r="301" spans="3:16" s="576" customFormat="1" ht="13.5" thickBot="1">
      <c r="C301" s="796">
        <v>2042</v>
      </c>
      <c r="D301" s="797">
        <v>60.518058273537719</v>
      </c>
      <c r="E301" s="805">
        <v>33.965181343271844</v>
      </c>
      <c r="F301" s="805">
        <v>13.836610452807903</v>
      </c>
      <c r="G301" s="805">
        <v>49.801029647621633</v>
      </c>
      <c r="H301" s="805">
        <v>83.566964003619859</v>
      </c>
      <c r="I301" s="797">
        <v>83.566964003619859</v>
      </c>
      <c r="J301" s="797">
        <v>85.726964003619855</v>
      </c>
      <c r="K301" s="797">
        <v>80.976964003619855</v>
      </c>
      <c r="L301" s="797">
        <v>60.68702193291076</v>
      </c>
      <c r="M301" s="797">
        <v>60.68702193291076</v>
      </c>
      <c r="N301" s="797">
        <v>48.496315696545963</v>
      </c>
      <c r="O301" s="808">
        <v>46.961176592602918</v>
      </c>
      <c r="P301" s="797">
        <v>0.65407068774474553</v>
      </c>
    </row>
    <row r="302" spans="3:16" s="576" customFormat="1" ht="13.5" thickBot="1">
      <c r="C302" s="796">
        <v>2043</v>
      </c>
      <c r="D302" s="797">
        <v>60.210469667318975</v>
      </c>
      <c r="E302" s="805">
        <v>34.011267071010337</v>
      </c>
      <c r="F302" s="805">
        <v>13.800150557366436</v>
      </c>
      <c r="G302" s="805">
        <v>49.497969590083216</v>
      </c>
      <c r="H302" s="805">
        <v>83.263903946081427</v>
      </c>
      <c r="I302" s="797">
        <v>83.263903946081427</v>
      </c>
      <c r="J302" s="797">
        <v>85.423903946081424</v>
      </c>
      <c r="K302" s="797">
        <v>80.673903946081424</v>
      </c>
      <c r="L302" s="797">
        <v>60.697960969252613</v>
      </c>
      <c r="M302" s="797">
        <v>60.697960969252613</v>
      </c>
      <c r="N302" s="797">
        <v>48.614559135690349</v>
      </c>
      <c r="O302" s="808">
        <v>46.961176592602918</v>
      </c>
      <c r="P302" s="797">
        <v>0.64203487803168602</v>
      </c>
    </row>
    <row r="303" spans="3:16" s="576" customFormat="1" ht="13.5" thickBot="1">
      <c r="C303" s="796">
        <v>2044</v>
      </c>
      <c r="D303" s="797">
        <v>59.902881061100238</v>
      </c>
      <c r="E303" s="805">
        <v>34.057352798748838</v>
      </c>
      <c r="F303" s="805">
        <v>13.763689450310618</v>
      </c>
      <c r="G303" s="805">
        <v>49.19491528234127</v>
      </c>
      <c r="H303" s="805">
        <v>82.960849638339482</v>
      </c>
      <c r="I303" s="797">
        <v>82.960849638339482</v>
      </c>
      <c r="J303" s="797">
        <v>85.120849638339479</v>
      </c>
      <c r="K303" s="797">
        <v>80.370849638339479</v>
      </c>
      <c r="L303" s="797">
        <v>60.70877659234629</v>
      </c>
      <c r="M303" s="797">
        <v>60.70877659234629</v>
      </c>
      <c r="N303" s="797">
        <v>48.73235982855357</v>
      </c>
      <c r="O303" s="808">
        <v>46.961176592602918</v>
      </c>
      <c r="P303" s="797">
        <v>0.63022054394528793</v>
      </c>
    </row>
    <row r="304" spans="3:16" s="576" customFormat="1" ht="13.5" thickBot="1">
      <c r="C304" s="796">
        <v>2045</v>
      </c>
      <c r="D304" s="797">
        <v>59.595292454881495</v>
      </c>
      <c r="E304" s="805">
        <v>34.103438526487338</v>
      </c>
      <c r="F304" s="805">
        <v>13.727227130091334</v>
      </c>
      <c r="G304" s="805">
        <v>48.89186673174725</v>
      </c>
      <c r="H304" s="805">
        <v>82.657801087745469</v>
      </c>
      <c r="I304" s="797">
        <v>82.657801087745469</v>
      </c>
      <c r="J304" s="797">
        <v>84.817801087745465</v>
      </c>
      <c r="K304" s="797">
        <v>80.067801087745465</v>
      </c>
      <c r="L304" s="797">
        <v>60.719470329291362</v>
      </c>
      <c r="M304" s="797">
        <v>60.719470329291362</v>
      </c>
      <c r="N304" s="797">
        <v>48.849720536660548</v>
      </c>
      <c r="O304" s="808">
        <v>46.961176592602918</v>
      </c>
      <c r="P304" s="797">
        <v>0.61862361002620292</v>
      </c>
    </row>
    <row r="305" spans="3:16" s="576" customFormat="1" ht="13.5" thickBot="1">
      <c r="C305" s="796">
        <v>2046</v>
      </c>
      <c r="D305" s="797">
        <v>59.287703848662751</v>
      </c>
      <c r="E305" s="805">
        <v>34.149524254225838</v>
      </c>
      <c r="F305" s="805">
        <v>13.690763595157463</v>
      </c>
      <c r="G305" s="805">
        <v>48.588823945662064</v>
      </c>
      <c r="H305" s="805">
        <v>82.354758301660269</v>
      </c>
      <c r="I305" s="797">
        <v>82.354758301660269</v>
      </c>
      <c r="J305" s="797">
        <v>84.514758301660265</v>
      </c>
      <c r="K305" s="797">
        <v>79.764758301660265</v>
      </c>
      <c r="L305" s="797">
        <v>60.774302670903623</v>
      </c>
      <c r="M305" s="797">
        <v>60.774302670903623</v>
      </c>
      <c r="N305" s="797">
        <v>49.024574818868821</v>
      </c>
      <c r="O305" s="808">
        <v>46.961176592602918</v>
      </c>
      <c r="P305" s="797">
        <v>0.60724007580919959</v>
      </c>
    </row>
    <row r="306" spans="3:16" s="576" customFormat="1" ht="13.5" thickBot="1">
      <c r="C306" s="796">
        <v>2047</v>
      </c>
      <c r="D306" s="797">
        <v>58.980115242444008</v>
      </c>
      <c r="E306" s="805">
        <v>34.195609981964324</v>
      </c>
      <c r="F306" s="805">
        <v>13.654298843955917</v>
      </c>
      <c r="G306" s="805">
        <v>48.285786931455988</v>
      </c>
      <c r="H306" s="805">
        <v>82.0517212874542</v>
      </c>
      <c r="I306" s="797">
        <v>82.0517212874542</v>
      </c>
      <c r="J306" s="797">
        <v>84.211721287454196</v>
      </c>
      <c r="K306" s="797">
        <v>79.461721287454196</v>
      </c>
      <c r="L306" s="797">
        <v>60.828784329157571</v>
      </c>
      <c r="M306" s="797">
        <v>60.828784329157571</v>
      </c>
      <c r="N306" s="797">
        <v>49.198719487894593</v>
      </c>
      <c r="O306" s="808">
        <v>46.961176592602918</v>
      </c>
      <c r="P306" s="797">
        <v>0.59606601444316643</v>
      </c>
    </row>
    <row r="307" spans="3:16" s="576" customFormat="1" ht="13.5" thickBot="1">
      <c r="C307" s="796">
        <v>2048</v>
      </c>
      <c r="D307" s="797">
        <v>58.672526636225271</v>
      </c>
      <c r="E307" s="805">
        <v>34.241695709702832</v>
      </c>
      <c r="F307" s="805">
        <v>13.617832874931624</v>
      </c>
      <c r="G307" s="805">
        <v>47.982755696508768</v>
      </c>
      <c r="H307" s="805">
        <v>81.748690052506987</v>
      </c>
      <c r="I307" s="797">
        <v>81.748690052506987</v>
      </c>
      <c r="J307" s="797">
        <v>83.908690052506984</v>
      </c>
      <c r="K307" s="797">
        <v>79.158690052506984</v>
      </c>
      <c r="L307" s="797">
        <v>60.882916997101603</v>
      </c>
      <c r="M307" s="797">
        <v>60.882916997101603</v>
      </c>
      <c r="N307" s="797">
        <v>49.372158440659689</v>
      </c>
      <c r="O307" s="808">
        <v>46.961176592602918</v>
      </c>
      <c r="P307" s="797">
        <v>0.58509757133651041</v>
      </c>
    </row>
    <row r="308" spans="3:16" s="576" customFormat="1" ht="13.5" thickBot="1">
      <c r="C308" s="796">
        <v>2049</v>
      </c>
      <c r="D308" s="797">
        <v>58.364938030006527</v>
      </c>
      <c r="E308" s="805">
        <v>34.287781437441318</v>
      </c>
      <c r="F308" s="805">
        <v>13.581365686527514</v>
      </c>
      <c r="G308" s="805">
        <v>47.679730248209545</v>
      </c>
      <c r="H308" s="805">
        <v>81.445664604207764</v>
      </c>
      <c r="I308" s="797">
        <v>81.445664604207764</v>
      </c>
      <c r="J308" s="797">
        <v>83.60566460420776</v>
      </c>
      <c r="K308" s="797">
        <v>78.85566460420776</v>
      </c>
      <c r="L308" s="797">
        <v>60.936702331670006</v>
      </c>
      <c r="M308" s="797">
        <v>60.936702331670006</v>
      </c>
      <c r="N308" s="797">
        <v>49.544895527221009</v>
      </c>
      <c r="O308" s="808">
        <v>46.961176592602918</v>
      </c>
      <c r="P308" s="797">
        <v>0.57433096282748075</v>
      </c>
    </row>
    <row r="309" spans="3:16" s="576" customFormat="1" ht="13.5" thickBot="1">
      <c r="C309" s="796">
        <v>2050</v>
      </c>
      <c r="D309" s="797">
        <v>58.057349423787784</v>
      </c>
      <c r="E309" s="805">
        <v>34.333867165179825</v>
      </c>
      <c r="F309" s="805">
        <v>13.544897277184536</v>
      </c>
      <c r="G309" s="805">
        <v>47.376710593956936</v>
      </c>
      <c r="H309" s="805">
        <v>81.142644949955155</v>
      </c>
      <c r="I309" s="797">
        <v>81.142644949955155</v>
      </c>
      <c r="J309" s="797">
        <v>83.302644949955152</v>
      </c>
      <c r="K309" s="797">
        <v>78.552644949955152</v>
      </c>
      <c r="L309" s="797">
        <v>60.990141954059872</v>
      </c>
      <c r="M309" s="797">
        <v>60.990141954059872</v>
      </c>
      <c r="N309" s="797">
        <v>49.716934551280723</v>
      </c>
      <c r="O309" s="808">
        <v>46.961176592602918</v>
      </c>
      <c r="P309" s="797">
        <v>0.56376247487896203</v>
      </c>
    </row>
    <row r="310" spans="3:16" s="576" customFormat="1">
      <c r="E310" s="574"/>
      <c r="F310" s="577"/>
    </row>
    <row r="311" spans="3:16" s="576" customFormat="1">
      <c r="E311" s="574"/>
      <c r="F311" s="577"/>
    </row>
    <row r="312" spans="3:16" s="576" customFormat="1">
      <c r="E312" s="574"/>
      <c r="F312" s="577"/>
    </row>
    <row r="313" spans="3:16" s="576" customFormat="1">
      <c r="E313" s="574"/>
      <c r="F313" s="577"/>
    </row>
    <row r="314" spans="3:16" s="576" customFormat="1">
      <c r="D314" s="576" t="s">
        <v>1168</v>
      </c>
      <c r="E314" s="574"/>
      <c r="F314" s="577"/>
    </row>
    <row r="315" spans="3:16" s="576" customFormat="1">
      <c r="E315" s="576">
        <v>0.44</v>
      </c>
      <c r="F315" s="576" t="s">
        <v>1167</v>
      </c>
      <c r="G315" s="576" t="s">
        <v>1166</v>
      </c>
    </row>
    <row r="316" spans="3:16" s="576" customFormat="1">
      <c r="E316" s="576">
        <v>33</v>
      </c>
      <c r="F316" s="576" t="s">
        <v>1165</v>
      </c>
      <c r="G316" s="576" t="s">
        <v>1164</v>
      </c>
    </row>
    <row r="317" spans="3:16" s="576" customFormat="1">
      <c r="E317" s="576">
        <v>260</v>
      </c>
      <c r="F317" s="576" t="s">
        <v>1163</v>
      </c>
      <c r="G317" s="576" t="s">
        <v>1162</v>
      </c>
    </row>
    <row r="318" spans="3:16" s="576" customFormat="1">
      <c r="E318" s="574"/>
      <c r="F318" s="577"/>
    </row>
    <row r="319" spans="3:16" s="576" customFormat="1">
      <c r="E319" s="574"/>
      <c r="F319" s="577"/>
    </row>
    <row r="320" spans="3:16" s="576" customFormat="1">
      <c r="E320" s="574"/>
      <c r="F320" s="577"/>
    </row>
    <row r="321" spans="2:6" s="576" customFormat="1">
      <c r="E321" s="574"/>
      <c r="F321" s="577"/>
    </row>
    <row r="322" spans="2:6" s="576" customFormat="1">
      <c r="E322" s="574"/>
      <c r="F322" s="577"/>
    </row>
    <row r="323" spans="2:6" s="576" customFormat="1">
      <c r="E323" s="574"/>
      <c r="F323" s="577"/>
    </row>
    <row r="324" spans="2:6" s="576" customFormat="1">
      <c r="E324" s="574"/>
      <c r="F324" s="577"/>
    </row>
    <row r="325" spans="2:6" s="576" customFormat="1">
      <c r="E325" s="574"/>
      <c r="F325" s="577"/>
    </row>
    <row r="326" spans="2:6" s="576" customFormat="1">
      <c r="E326" s="574"/>
      <c r="F326" s="577"/>
    </row>
    <row r="327" spans="2:6" s="576" customFormat="1">
      <c r="E327" s="574"/>
      <c r="F327" s="577"/>
    </row>
    <row r="328" spans="2:6" s="576" customFormat="1">
      <c r="E328" s="574"/>
      <c r="F328" s="577"/>
    </row>
    <row r="329" spans="2:6">
      <c r="B329" s="1"/>
      <c r="C329" s="1"/>
      <c r="D329" s="1"/>
      <c r="E329" s="8"/>
      <c r="F329" s="5"/>
    </row>
    <row r="330" spans="2:6">
      <c r="B330" s="1"/>
      <c r="C330" s="1"/>
      <c r="D330" s="1"/>
      <c r="E330" s="8"/>
      <c r="F330" s="5"/>
    </row>
    <row r="331" spans="2:6">
      <c r="B331" s="1"/>
      <c r="C331" s="1"/>
      <c r="D331" s="1"/>
      <c r="E331" s="8"/>
      <c r="F331" s="5"/>
    </row>
    <row r="332" spans="2:6">
      <c r="B332" s="1"/>
      <c r="C332" s="1"/>
      <c r="D332" s="1"/>
      <c r="E332" s="8"/>
      <c r="F332" s="5"/>
    </row>
    <row r="333" spans="2:6">
      <c r="B333" s="1"/>
      <c r="C333" s="1"/>
      <c r="D333" s="1"/>
      <c r="E333" s="8"/>
      <c r="F333" s="5"/>
    </row>
    <row r="334" spans="2:6">
      <c r="B334" s="1"/>
      <c r="C334" s="1"/>
      <c r="D334" s="1"/>
      <c r="E334" s="8"/>
      <c r="F334" s="5"/>
    </row>
    <row r="335" spans="2:6">
      <c r="B335" s="1"/>
      <c r="C335" s="1"/>
      <c r="D335" s="1"/>
      <c r="E335" s="8"/>
      <c r="F335" s="5"/>
    </row>
    <row r="336" spans="2:6">
      <c r="B336" s="1"/>
      <c r="C336" s="1"/>
      <c r="D336" s="1"/>
      <c r="E336" s="8"/>
      <c r="F336" s="5"/>
    </row>
    <row r="337" spans="2:6">
      <c r="B337" s="1"/>
      <c r="C337" s="1"/>
      <c r="D337" s="1"/>
      <c r="E337" s="8"/>
      <c r="F337" s="5"/>
    </row>
    <row r="338" spans="2:6">
      <c r="B338" s="1"/>
      <c r="C338" s="1"/>
      <c r="D338" s="1"/>
      <c r="E338" s="8"/>
      <c r="F338" s="5"/>
    </row>
    <row r="339" spans="2:6">
      <c r="B339" s="1"/>
      <c r="C339" s="1"/>
      <c r="D339" s="1"/>
      <c r="E339" s="8"/>
      <c r="F339" s="5"/>
    </row>
    <row r="340" spans="2:6">
      <c r="B340" s="1"/>
      <c r="C340" s="1"/>
      <c r="D340" s="1"/>
      <c r="E340" s="8"/>
      <c r="F340" s="5"/>
    </row>
    <row r="341" spans="2:6">
      <c r="B341" s="1"/>
      <c r="C341" s="1"/>
      <c r="D341" s="1"/>
      <c r="E341" s="8"/>
      <c r="F341" s="5"/>
    </row>
    <row r="342" spans="2:6">
      <c r="B342" s="1"/>
      <c r="C342" s="1"/>
      <c r="D342" s="1"/>
      <c r="E342" s="8"/>
      <c r="F342" s="5"/>
    </row>
    <row r="343" spans="2:6">
      <c r="B343" s="1"/>
      <c r="C343" s="1"/>
      <c r="D343" s="1"/>
      <c r="E343" s="8"/>
      <c r="F343" s="5"/>
    </row>
    <row r="344" spans="2:6">
      <c r="B344" s="1"/>
      <c r="C344" s="1"/>
      <c r="D344" s="1"/>
      <c r="E344" s="8"/>
      <c r="F344" s="5"/>
    </row>
    <row r="345" spans="2:6">
      <c r="B345" s="1"/>
      <c r="C345" s="1"/>
      <c r="D345" s="1"/>
      <c r="E345" s="8"/>
      <c r="F345" s="5"/>
    </row>
    <row r="346" spans="2:6">
      <c r="B346" s="1"/>
      <c r="C346" s="1"/>
      <c r="D346" s="1"/>
      <c r="E346" s="8"/>
      <c r="F346" s="5"/>
    </row>
    <row r="347" spans="2:6">
      <c r="B347" s="1"/>
      <c r="C347" s="1"/>
      <c r="D347" s="1"/>
      <c r="E347" s="8"/>
      <c r="F347" s="5"/>
    </row>
    <row r="348" spans="2:6">
      <c r="B348" s="1"/>
      <c r="C348" s="1"/>
      <c r="D348" s="1"/>
      <c r="E348" s="8"/>
      <c r="F348" s="5"/>
    </row>
    <row r="349" spans="2:6">
      <c r="B349" s="1"/>
      <c r="C349" s="1"/>
      <c r="D349" s="1"/>
      <c r="E349" s="8"/>
      <c r="F349" s="5"/>
    </row>
    <row r="350" spans="2:6">
      <c r="B350" s="1"/>
      <c r="C350" s="1"/>
      <c r="D350" s="1"/>
      <c r="E350" s="8"/>
      <c r="F350" s="5"/>
    </row>
    <row r="351" spans="2:6">
      <c r="B351" s="1"/>
      <c r="C351" s="1"/>
      <c r="D351" s="1"/>
      <c r="E351" s="8"/>
      <c r="F351" s="5"/>
    </row>
    <row r="352" spans="2:6">
      <c r="B352" s="1"/>
      <c r="C352" s="1"/>
      <c r="D352" s="1"/>
      <c r="E352" s="8"/>
      <c r="F352" s="5"/>
    </row>
    <row r="353" spans="2:6">
      <c r="B353" s="1"/>
      <c r="C353" s="1"/>
      <c r="D353" s="1"/>
      <c r="E353" s="8"/>
      <c r="F353" s="5"/>
    </row>
    <row r="354" spans="2:6">
      <c r="B354" s="1"/>
      <c r="C354" s="1"/>
      <c r="D354" s="1"/>
      <c r="E354" s="8"/>
      <c r="F354" s="5"/>
    </row>
    <row r="355" spans="2:6">
      <c r="B355" s="1"/>
      <c r="C355" s="1"/>
      <c r="D355" s="1"/>
      <c r="E355" s="8"/>
      <c r="F355" s="5"/>
    </row>
    <row r="356" spans="2:6">
      <c r="B356" s="1"/>
      <c r="C356" s="1"/>
      <c r="D356" s="1"/>
      <c r="E356" s="8"/>
      <c r="F356" s="5"/>
    </row>
    <row r="357" spans="2:6">
      <c r="B357" s="1"/>
      <c r="C357" s="1"/>
      <c r="D357" s="1"/>
      <c r="E357" s="8"/>
      <c r="F357" s="5"/>
    </row>
    <row r="358" spans="2:6">
      <c r="B358" s="1"/>
      <c r="C358" s="1"/>
      <c r="D358" s="1"/>
      <c r="E358" s="8"/>
      <c r="F358" s="5"/>
    </row>
    <row r="359" spans="2:6">
      <c r="B359" s="1"/>
      <c r="C359" s="1"/>
      <c r="D359" s="1"/>
      <c r="E359" s="8"/>
      <c r="F359" s="5"/>
    </row>
    <row r="360" spans="2:6">
      <c r="B360" s="1"/>
      <c r="C360" s="1"/>
      <c r="D360" s="1"/>
      <c r="E360" s="8"/>
      <c r="F360" s="5"/>
    </row>
    <row r="361" spans="2:6">
      <c r="B361" s="1"/>
      <c r="C361" s="1"/>
      <c r="D361" s="1"/>
      <c r="E361" s="8"/>
      <c r="F361" s="5"/>
    </row>
    <row r="362" spans="2:6">
      <c r="B362" s="1"/>
      <c r="C362" s="1"/>
      <c r="D362" s="1"/>
      <c r="E362" s="8"/>
      <c r="F362" s="5"/>
    </row>
    <row r="363" spans="2:6">
      <c r="B363" s="1"/>
      <c r="C363" s="1"/>
      <c r="D363" s="1"/>
      <c r="E363" s="8"/>
      <c r="F363" s="5"/>
    </row>
    <row r="364" spans="2:6">
      <c r="B364" s="1"/>
      <c r="C364" s="1"/>
      <c r="D364" s="1"/>
      <c r="E364" s="8"/>
      <c r="F364" s="5"/>
    </row>
    <row r="365" spans="2:6">
      <c r="B365" s="1"/>
      <c r="C365" s="1"/>
      <c r="D365" s="1"/>
      <c r="E365" s="8"/>
      <c r="F365" s="5"/>
    </row>
    <row r="366" spans="2:6">
      <c r="B366" s="1"/>
      <c r="C366" s="1"/>
      <c r="D366" s="1"/>
      <c r="E366" s="8"/>
      <c r="F366" s="5"/>
    </row>
    <row r="367" spans="2:6">
      <c r="B367" s="1"/>
      <c r="C367" s="1"/>
      <c r="D367" s="1"/>
      <c r="E367" s="8"/>
      <c r="F367" s="5"/>
    </row>
    <row r="368" spans="2:6">
      <c r="B368" s="1"/>
      <c r="C368" s="1"/>
      <c r="D368" s="1"/>
      <c r="E368" s="8"/>
      <c r="F368" s="5"/>
    </row>
    <row r="369" spans="2:6">
      <c r="B369" s="1"/>
      <c r="C369" s="1"/>
      <c r="D369" s="1"/>
      <c r="E369" s="8"/>
      <c r="F369" s="5"/>
    </row>
    <row r="370" spans="2:6">
      <c r="B370" s="1"/>
      <c r="C370" s="1"/>
      <c r="D370" s="1"/>
      <c r="E370" s="8"/>
      <c r="F370" s="5"/>
    </row>
    <row r="371" spans="2:6">
      <c r="B371" s="1"/>
      <c r="C371" s="1"/>
      <c r="D371" s="1"/>
      <c r="E371" s="8"/>
      <c r="F371" s="5"/>
    </row>
    <row r="372" spans="2:6">
      <c r="B372" s="1"/>
      <c r="C372" s="1"/>
      <c r="D372" s="1"/>
      <c r="E372" s="8"/>
      <c r="F372" s="5"/>
    </row>
    <row r="373" spans="2:6">
      <c r="B373" s="1"/>
      <c r="C373" s="1"/>
      <c r="D373" s="1"/>
      <c r="E373" s="8"/>
      <c r="F373" s="5"/>
    </row>
    <row r="374" spans="2:6">
      <c r="B374" s="1"/>
      <c r="C374" s="1"/>
      <c r="D374" s="1"/>
      <c r="E374" s="8"/>
      <c r="F374" s="5"/>
    </row>
    <row r="375" spans="2:6">
      <c r="B375" s="1"/>
      <c r="C375" s="1"/>
      <c r="D375" s="1"/>
      <c r="E375" s="8"/>
      <c r="F375" s="5"/>
    </row>
    <row r="376" spans="2:6">
      <c r="B376" s="1"/>
      <c r="C376" s="1"/>
      <c r="D376" s="1"/>
      <c r="E376" s="8"/>
      <c r="F376" s="5"/>
    </row>
    <row r="377" spans="2:6">
      <c r="B377" s="1"/>
      <c r="C377" s="1"/>
      <c r="D377" s="1"/>
      <c r="E377" s="8"/>
      <c r="F377" s="5"/>
    </row>
    <row r="378" spans="2:6">
      <c r="B378" s="1"/>
      <c r="C378" s="1"/>
      <c r="D378" s="1"/>
      <c r="E378" s="8"/>
      <c r="F378" s="5"/>
    </row>
    <row r="379" spans="2:6">
      <c r="B379" s="1"/>
      <c r="C379" s="1"/>
      <c r="D379" s="1"/>
      <c r="E379" s="8"/>
      <c r="F379" s="5"/>
    </row>
    <row r="380" spans="2:6">
      <c r="B380" s="1"/>
      <c r="C380" s="1"/>
      <c r="D380" s="1"/>
      <c r="E380" s="8"/>
      <c r="F380" s="5"/>
    </row>
    <row r="381" spans="2:6">
      <c r="B381" s="1"/>
      <c r="C381" s="1"/>
      <c r="D381" s="1"/>
      <c r="E381" s="8"/>
      <c r="F381" s="5"/>
    </row>
    <row r="382" spans="2:6">
      <c r="B382" s="1"/>
      <c r="C382" s="1"/>
      <c r="D382" s="1"/>
      <c r="E382" s="8"/>
      <c r="F382" s="5"/>
    </row>
    <row r="383" spans="2:6">
      <c r="B383" s="1"/>
      <c r="C383" s="1"/>
      <c r="D383" s="1"/>
      <c r="E383" s="8"/>
      <c r="F383" s="5"/>
    </row>
    <row r="384" spans="2:6">
      <c r="B384" s="1"/>
      <c r="C384" s="1"/>
      <c r="D384" s="1"/>
      <c r="E384" s="8"/>
      <c r="F384" s="5"/>
    </row>
    <row r="385" spans="2:6">
      <c r="B385" s="1"/>
      <c r="C385" s="1"/>
      <c r="D385" s="1"/>
      <c r="E385" s="8"/>
      <c r="F385" s="5"/>
    </row>
    <row r="386" spans="2:6">
      <c r="B386" s="1"/>
      <c r="C386" s="1"/>
      <c r="D386" s="1"/>
      <c r="E386" s="8"/>
      <c r="F386" s="5"/>
    </row>
    <row r="387" spans="2:6">
      <c r="B387" s="1"/>
      <c r="C387" s="1"/>
      <c r="D387" s="1"/>
      <c r="E387" s="8"/>
      <c r="F387" s="5"/>
    </row>
    <row r="388" spans="2:6">
      <c r="B388" s="1"/>
      <c r="C388" s="1"/>
      <c r="D388" s="1"/>
      <c r="E388" s="8"/>
      <c r="F388" s="5"/>
    </row>
    <row r="389" spans="2:6">
      <c r="B389" s="1"/>
      <c r="C389" s="1"/>
      <c r="D389" s="1"/>
      <c r="E389" s="8"/>
      <c r="F389" s="5"/>
    </row>
    <row r="390" spans="2:6">
      <c r="B390" s="1"/>
      <c r="C390" s="1"/>
      <c r="D390" s="1"/>
      <c r="E390" s="8"/>
      <c r="F390" s="5"/>
    </row>
    <row r="391" spans="2:6">
      <c r="B391" s="1"/>
      <c r="C391" s="1"/>
      <c r="D391" s="1"/>
      <c r="E391" s="8"/>
      <c r="F391" s="5"/>
    </row>
    <row r="392" spans="2:6">
      <c r="B392" s="1"/>
      <c r="C392" s="1"/>
      <c r="D392" s="1"/>
      <c r="E392" s="8"/>
      <c r="F392" s="5"/>
    </row>
    <row r="393" spans="2:6">
      <c r="B393" s="1"/>
      <c r="C393" s="1"/>
      <c r="D393" s="1"/>
      <c r="E393" s="8"/>
      <c r="F393" s="5"/>
    </row>
    <row r="394" spans="2:6">
      <c r="B394" s="1"/>
      <c r="C394" s="1"/>
      <c r="D394" s="1"/>
      <c r="E394" s="8"/>
      <c r="F394" s="5"/>
    </row>
    <row r="395" spans="2:6">
      <c r="B395" s="1"/>
      <c r="C395" s="1"/>
      <c r="D395" s="1"/>
      <c r="E395" s="8"/>
      <c r="F395" s="5"/>
    </row>
    <row r="396" spans="2:6">
      <c r="B396" s="1"/>
      <c r="C396" s="1"/>
      <c r="D396" s="1"/>
      <c r="E396" s="8"/>
      <c r="F396" s="5"/>
    </row>
    <row r="397" spans="2:6">
      <c r="B397" s="1"/>
      <c r="C397" s="1"/>
      <c r="D397" s="1"/>
      <c r="E397" s="8"/>
      <c r="F397" s="5"/>
    </row>
    <row r="398" spans="2:6">
      <c r="B398" s="1"/>
      <c r="C398" s="1"/>
      <c r="D398" s="1"/>
      <c r="E398" s="8"/>
      <c r="F398" s="5"/>
    </row>
    <row r="399" spans="2:6">
      <c r="B399" s="1"/>
      <c r="C399" s="1"/>
      <c r="D399" s="1"/>
      <c r="E399" s="8"/>
      <c r="F399" s="5"/>
    </row>
    <row r="400" spans="2:6">
      <c r="B400" s="1"/>
      <c r="C400" s="1"/>
      <c r="D400" s="1"/>
      <c r="E400" s="8"/>
      <c r="F400" s="5"/>
    </row>
    <row r="401" spans="2:6">
      <c r="B401" s="1"/>
      <c r="C401" s="1"/>
      <c r="D401" s="1"/>
      <c r="E401" s="8"/>
      <c r="F401" s="5"/>
    </row>
    <row r="402" spans="2:6">
      <c r="B402" s="1"/>
      <c r="C402" s="1"/>
      <c r="D402" s="1"/>
      <c r="E402" s="8"/>
      <c r="F402" s="5"/>
    </row>
    <row r="403" spans="2:6">
      <c r="B403" s="1"/>
      <c r="C403" s="1"/>
      <c r="D403" s="1"/>
      <c r="E403" s="8"/>
      <c r="F403" s="5"/>
    </row>
    <row r="404" spans="2:6">
      <c r="B404" s="1"/>
      <c r="C404" s="1"/>
      <c r="D404" s="1"/>
      <c r="E404" s="8"/>
      <c r="F404" s="5"/>
    </row>
    <row r="405" spans="2:6">
      <c r="B405" s="1"/>
      <c r="C405" s="1"/>
      <c r="D405" s="1"/>
      <c r="E405" s="8"/>
      <c r="F405" s="5"/>
    </row>
    <row r="406" spans="2:6">
      <c r="B406" s="1"/>
      <c r="C406" s="1"/>
      <c r="D406" s="1"/>
      <c r="E406" s="8"/>
      <c r="F406" s="5"/>
    </row>
    <row r="407" spans="2:6">
      <c r="B407" s="1"/>
      <c r="C407" s="1"/>
      <c r="D407" s="1"/>
      <c r="E407" s="8"/>
      <c r="F407" s="5"/>
    </row>
    <row r="408" spans="2:6">
      <c r="B408" s="1"/>
      <c r="C408" s="1"/>
      <c r="D408" s="1"/>
      <c r="E408" s="8"/>
      <c r="F408" s="5"/>
    </row>
    <row r="409" spans="2:6">
      <c r="B409" s="1"/>
      <c r="C409" s="1"/>
      <c r="D409" s="1"/>
      <c r="E409" s="8"/>
      <c r="F409" s="5"/>
    </row>
    <row r="410" spans="2:6">
      <c r="B410" s="1"/>
      <c r="C410" s="1"/>
      <c r="D410" s="1"/>
      <c r="E410" s="8"/>
      <c r="F410" s="5"/>
    </row>
    <row r="411" spans="2:6">
      <c r="B411" s="1"/>
      <c r="C411" s="1"/>
      <c r="D411" s="1"/>
      <c r="E411" s="8"/>
      <c r="F411" s="5"/>
    </row>
    <row r="412" spans="2:6">
      <c r="B412" s="1"/>
      <c r="C412" s="1"/>
      <c r="D412" s="1"/>
      <c r="E412" s="8"/>
      <c r="F412" s="5"/>
    </row>
    <row r="413" spans="2:6">
      <c r="B413" s="1"/>
      <c r="C413" s="1"/>
      <c r="D413" s="1"/>
      <c r="E413" s="8"/>
      <c r="F413" s="5"/>
    </row>
    <row r="414" spans="2:6">
      <c r="B414" s="1"/>
      <c r="C414" s="1"/>
      <c r="D414" s="1"/>
      <c r="E414" s="8"/>
      <c r="F414" s="5"/>
    </row>
    <row r="415" spans="2:6">
      <c r="B415" s="1"/>
      <c r="C415" s="1"/>
      <c r="D415" s="1"/>
      <c r="E415" s="8"/>
      <c r="F415" s="5"/>
    </row>
    <row r="416" spans="2:6">
      <c r="B416" s="1"/>
      <c r="C416" s="1"/>
      <c r="D416" s="1"/>
      <c r="E416" s="8"/>
      <c r="F416" s="5"/>
    </row>
    <row r="417" spans="2:6">
      <c r="B417" s="1"/>
      <c r="C417" s="1"/>
      <c r="D417" s="1"/>
      <c r="E417" s="8"/>
      <c r="F417" s="5"/>
    </row>
    <row r="418" spans="2:6">
      <c r="B418" s="1"/>
      <c r="C418" s="1"/>
      <c r="D418" s="1"/>
      <c r="E418" s="8"/>
      <c r="F418" s="5"/>
    </row>
    <row r="419" spans="2:6">
      <c r="B419" s="1"/>
      <c r="C419" s="1"/>
      <c r="D419" s="1"/>
      <c r="E419" s="8"/>
      <c r="F419" s="5"/>
    </row>
    <row r="420" spans="2:6">
      <c r="B420" s="1"/>
      <c r="C420" s="1"/>
      <c r="D420" s="1"/>
      <c r="E420" s="8"/>
      <c r="F420" s="5"/>
    </row>
    <row r="421" spans="2:6">
      <c r="B421" s="1"/>
      <c r="C421" s="1"/>
      <c r="D421" s="1"/>
      <c r="E421" s="8"/>
      <c r="F421" s="5"/>
    </row>
    <row r="422" spans="2:6">
      <c r="B422" s="1"/>
      <c r="C422" s="1"/>
      <c r="D422" s="1"/>
      <c r="E422" s="8"/>
      <c r="F422" s="5"/>
    </row>
    <row r="423" spans="2:6">
      <c r="B423" s="1"/>
      <c r="C423" s="1"/>
      <c r="D423" s="1"/>
      <c r="E423" s="8"/>
      <c r="F423" s="5"/>
    </row>
    <row r="424" spans="2:6">
      <c r="B424" s="1"/>
      <c r="C424" s="1"/>
      <c r="D424" s="1"/>
      <c r="E424" s="8"/>
      <c r="F424" s="5"/>
    </row>
    <row r="425" spans="2:6">
      <c r="B425" s="1"/>
      <c r="C425" s="1"/>
      <c r="D425" s="1"/>
      <c r="E425" s="8"/>
      <c r="F425" s="5"/>
    </row>
    <row r="426" spans="2:6">
      <c r="B426" s="1"/>
      <c r="C426" s="1"/>
      <c r="D426" s="1"/>
      <c r="E426" s="8"/>
      <c r="F426" s="5"/>
    </row>
    <row r="427" spans="2:6">
      <c r="B427" s="1"/>
      <c r="C427" s="1"/>
      <c r="D427" s="1"/>
      <c r="E427" s="8"/>
      <c r="F427" s="5"/>
    </row>
    <row r="428" spans="2:6">
      <c r="B428" s="1"/>
      <c r="C428" s="1"/>
      <c r="D428" s="1"/>
      <c r="E428" s="8"/>
      <c r="F428" s="5"/>
    </row>
    <row r="429" spans="2:6">
      <c r="B429" s="1"/>
      <c r="C429" s="1"/>
      <c r="D429" s="1"/>
      <c r="E429" s="8"/>
      <c r="F429" s="5"/>
    </row>
    <row r="430" spans="2:6">
      <c r="B430" s="1"/>
      <c r="C430" s="1"/>
      <c r="D430" s="1"/>
      <c r="E430" s="8"/>
      <c r="F430" s="5"/>
    </row>
    <row r="431" spans="2:6">
      <c r="B431" s="1"/>
      <c r="C431" s="1"/>
      <c r="D431" s="1"/>
      <c r="E431" s="8"/>
      <c r="F431" s="5"/>
    </row>
    <row r="432" spans="2:6">
      <c r="B432" s="1"/>
      <c r="C432" s="1"/>
      <c r="D432" s="1"/>
      <c r="E432" s="8"/>
      <c r="F432" s="5"/>
    </row>
    <row r="433" spans="2:6">
      <c r="B433" s="1"/>
      <c r="C433" s="1"/>
      <c r="D433" s="1"/>
      <c r="E433" s="8"/>
      <c r="F433" s="5"/>
    </row>
    <row r="434" spans="2:6">
      <c r="B434" s="1"/>
      <c r="C434" s="1"/>
      <c r="D434" s="1"/>
      <c r="E434" s="8"/>
      <c r="F434" s="5"/>
    </row>
    <row r="435" spans="2:6">
      <c r="B435" s="1"/>
      <c r="C435" s="1"/>
      <c r="D435" s="1"/>
      <c r="E435" s="8"/>
      <c r="F435" s="5"/>
    </row>
    <row r="436" spans="2:6">
      <c r="B436" s="1"/>
      <c r="C436" s="1"/>
      <c r="D436" s="1"/>
      <c r="E436" s="8"/>
      <c r="F436" s="5"/>
    </row>
    <row r="437" spans="2:6">
      <c r="B437" s="1"/>
      <c r="C437" s="1"/>
      <c r="D437" s="1"/>
      <c r="E437" s="8"/>
      <c r="F437" s="5"/>
    </row>
    <row r="438" spans="2:6">
      <c r="B438" s="1"/>
      <c r="C438" s="1"/>
      <c r="D438" s="1"/>
      <c r="E438" s="8"/>
      <c r="F438" s="5"/>
    </row>
    <row r="439" spans="2:6">
      <c r="B439" s="1"/>
      <c r="C439" s="1"/>
      <c r="D439" s="1"/>
      <c r="E439" s="8"/>
      <c r="F439" s="5"/>
    </row>
    <row r="440" spans="2:6">
      <c r="B440" s="1"/>
      <c r="C440" s="1"/>
      <c r="D440" s="1"/>
      <c r="E440" s="8"/>
      <c r="F440" s="5"/>
    </row>
    <row r="441" spans="2:6">
      <c r="B441" s="1"/>
      <c r="C441" s="1"/>
      <c r="D441" s="1"/>
      <c r="E441" s="8"/>
      <c r="F441" s="5"/>
    </row>
    <row r="442" spans="2:6">
      <c r="B442" s="1"/>
      <c r="C442" s="1"/>
      <c r="D442" s="1"/>
      <c r="E442" s="8"/>
      <c r="F442" s="5"/>
    </row>
    <row r="443" spans="2:6">
      <c r="B443" s="1"/>
      <c r="C443" s="1"/>
      <c r="D443" s="1"/>
      <c r="E443" s="8"/>
      <c r="F443" s="5"/>
    </row>
    <row r="444" spans="2:6">
      <c r="B444" s="1"/>
      <c r="C444" s="1"/>
      <c r="D444" s="1"/>
      <c r="E444" s="8"/>
      <c r="F444" s="5"/>
    </row>
    <row r="445" spans="2:6">
      <c r="B445" s="1"/>
      <c r="C445" s="1"/>
      <c r="D445" s="1"/>
      <c r="E445" s="8"/>
      <c r="F445" s="5"/>
    </row>
    <row r="446" spans="2:6">
      <c r="B446" s="1"/>
      <c r="C446" s="1"/>
      <c r="D446" s="1"/>
      <c r="E446" s="8"/>
      <c r="F446" s="5"/>
    </row>
    <row r="447" spans="2:6">
      <c r="B447" s="1"/>
      <c r="C447" s="1"/>
      <c r="D447" s="1"/>
      <c r="E447" s="8"/>
      <c r="F447" s="5"/>
    </row>
    <row r="448" spans="2:6">
      <c r="B448" s="1"/>
      <c r="C448" s="1"/>
      <c r="D448" s="1"/>
      <c r="E448" s="8"/>
      <c r="F448" s="5"/>
    </row>
    <row r="449" spans="2:6">
      <c r="B449" s="1"/>
      <c r="C449" s="1"/>
      <c r="D449" s="1"/>
      <c r="E449" s="8"/>
      <c r="F449" s="5"/>
    </row>
    <row r="450" spans="2:6">
      <c r="B450" s="1"/>
      <c r="C450" s="1"/>
      <c r="D450" s="1"/>
      <c r="E450" s="8"/>
      <c r="F450" s="5"/>
    </row>
    <row r="451" spans="2:6">
      <c r="B451" s="1"/>
      <c r="C451" s="1"/>
      <c r="D451" s="1"/>
      <c r="E451" s="8"/>
      <c r="F451" s="5"/>
    </row>
    <row r="452" spans="2:6">
      <c r="B452" s="1"/>
      <c r="C452" s="1"/>
      <c r="D452" s="1"/>
      <c r="E452" s="8"/>
      <c r="F452" s="5"/>
    </row>
    <row r="453" spans="2:6">
      <c r="B453" s="1"/>
      <c r="C453" s="1"/>
      <c r="D453" s="1"/>
      <c r="E453" s="8"/>
      <c r="F453" s="5"/>
    </row>
    <row r="454" spans="2:6">
      <c r="B454" s="1"/>
      <c r="C454" s="1"/>
      <c r="D454" s="1"/>
      <c r="E454" s="8"/>
      <c r="F454" s="5"/>
    </row>
    <row r="455" spans="2:6">
      <c r="B455" s="1"/>
      <c r="C455" s="1"/>
      <c r="D455" s="1"/>
      <c r="E455" s="8"/>
      <c r="F455" s="5"/>
    </row>
    <row r="456" spans="2:6">
      <c r="B456" s="1"/>
      <c r="C456" s="1"/>
      <c r="D456" s="1"/>
      <c r="E456" s="8"/>
      <c r="F456" s="5"/>
    </row>
    <row r="457" spans="2:6">
      <c r="B457" s="1"/>
      <c r="C457" s="1"/>
      <c r="D457" s="1"/>
      <c r="E457" s="8"/>
      <c r="F457" s="5"/>
    </row>
    <row r="458" spans="2:6">
      <c r="B458" s="1"/>
      <c r="C458" s="1"/>
      <c r="D458" s="1"/>
      <c r="E458" s="8"/>
      <c r="F458" s="5"/>
    </row>
    <row r="459" spans="2:6">
      <c r="B459" s="1"/>
      <c r="C459" s="1"/>
      <c r="D459" s="1"/>
      <c r="E459" s="8"/>
      <c r="F459" s="5"/>
    </row>
    <row r="460" spans="2:6">
      <c r="B460" s="1"/>
      <c r="C460" s="1"/>
      <c r="D460" s="1"/>
      <c r="E460" s="8"/>
      <c r="F460" s="5"/>
    </row>
    <row r="461" spans="2:6">
      <c r="B461" s="1"/>
      <c r="C461" s="1"/>
      <c r="D461" s="1"/>
      <c r="E461" s="8"/>
      <c r="F461" s="5"/>
    </row>
    <row r="462" spans="2:6">
      <c r="B462" s="1"/>
      <c r="C462" s="1"/>
      <c r="D462" s="1"/>
      <c r="E462" s="8"/>
      <c r="F462" s="5"/>
    </row>
    <row r="463" spans="2:6">
      <c r="B463" s="1"/>
      <c r="C463" s="1"/>
      <c r="D463" s="1"/>
      <c r="E463" s="8"/>
      <c r="F463" s="5"/>
    </row>
    <row r="464" spans="2:6">
      <c r="B464" s="1"/>
      <c r="C464" s="1"/>
      <c r="D464" s="1"/>
      <c r="E464" s="8"/>
      <c r="F464" s="5"/>
    </row>
    <row r="465" spans="2:6">
      <c r="B465" s="1"/>
      <c r="C465" s="1"/>
      <c r="D465" s="1"/>
      <c r="E465" s="8"/>
      <c r="F465" s="5"/>
    </row>
    <row r="466" spans="2:6">
      <c r="B466" s="1"/>
      <c r="C466" s="1"/>
      <c r="D466" s="1"/>
      <c r="E466" s="8"/>
      <c r="F466" s="5"/>
    </row>
    <row r="467" spans="2:6">
      <c r="B467" s="1"/>
      <c r="C467" s="1"/>
      <c r="D467" s="1"/>
      <c r="E467" s="8"/>
      <c r="F467" s="5"/>
    </row>
    <row r="468" spans="2:6">
      <c r="B468" s="1"/>
      <c r="C468" s="1"/>
      <c r="D468" s="1"/>
      <c r="E468" s="8"/>
      <c r="F468" s="5"/>
    </row>
    <row r="469" spans="2:6">
      <c r="B469" s="1"/>
      <c r="C469" s="1"/>
      <c r="D469" s="1"/>
      <c r="E469" s="8"/>
      <c r="F469" s="5"/>
    </row>
    <row r="470" spans="2:6">
      <c r="B470" s="1"/>
      <c r="C470" s="1"/>
      <c r="D470" s="1"/>
      <c r="E470" s="8"/>
      <c r="F470" s="5"/>
    </row>
    <row r="471" spans="2:6">
      <c r="B471" s="1"/>
      <c r="C471" s="1"/>
      <c r="D471" s="1"/>
      <c r="E471" s="8"/>
      <c r="F471" s="5"/>
    </row>
    <row r="472" spans="2:6">
      <c r="B472" s="1"/>
      <c r="C472" s="1"/>
      <c r="D472" s="1"/>
      <c r="E472" s="8"/>
      <c r="F472" s="5"/>
    </row>
    <row r="473" spans="2:6">
      <c r="B473" s="1"/>
      <c r="C473" s="1"/>
      <c r="D473" s="1"/>
      <c r="E473" s="8"/>
      <c r="F473" s="5"/>
    </row>
    <row r="474" spans="2:6">
      <c r="B474" s="1"/>
      <c r="C474" s="1"/>
      <c r="D474" s="1"/>
      <c r="E474" s="8"/>
      <c r="F474" s="5"/>
    </row>
    <row r="475" spans="2:6">
      <c r="B475" s="1"/>
      <c r="C475" s="1"/>
      <c r="D475" s="1"/>
      <c r="E475" s="8"/>
      <c r="F475" s="5"/>
    </row>
    <row r="476" spans="2:6">
      <c r="B476" s="1"/>
      <c r="C476" s="1"/>
      <c r="D476" s="1"/>
      <c r="E476" s="8"/>
      <c r="F476" s="5"/>
    </row>
    <row r="477" spans="2:6">
      <c r="B477" s="1"/>
      <c r="C477" s="1"/>
      <c r="D477" s="1"/>
      <c r="E477" s="8"/>
      <c r="F477" s="5"/>
    </row>
    <row r="478" spans="2:6">
      <c r="B478" s="1"/>
      <c r="C478" s="1"/>
      <c r="D478" s="1"/>
      <c r="E478" s="8"/>
      <c r="F478" s="5"/>
    </row>
    <row r="479" spans="2:6">
      <c r="B479" s="1"/>
      <c r="C479" s="1"/>
      <c r="D479" s="1"/>
      <c r="E479" s="8"/>
      <c r="F479" s="5"/>
    </row>
    <row r="480" spans="2:6">
      <c r="B480" s="1"/>
      <c r="C480" s="1"/>
      <c r="D480" s="1"/>
      <c r="E480" s="8"/>
      <c r="F480" s="5"/>
    </row>
    <row r="481" spans="2:6">
      <c r="B481" s="1"/>
      <c r="C481" s="1"/>
      <c r="D481" s="1"/>
      <c r="E481" s="8"/>
      <c r="F481" s="5"/>
    </row>
    <row r="482" spans="2:6">
      <c r="B482" s="1"/>
      <c r="C482" s="1"/>
      <c r="D482" s="1"/>
      <c r="E482" s="8"/>
      <c r="F482" s="5"/>
    </row>
    <row r="483" spans="2:6">
      <c r="B483" s="1"/>
      <c r="C483" s="1"/>
      <c r="D483" s="1"/>
      <c r="E483" s="8"/>
      <c r="F483" s="5"/>
    </row>
    <row r="484" spans="2:6">
      <c r="B484" s="1"/>
      <c r="C484" s="1"/>
      <c r="D484" s="1"/>
      <c r="E484" s="8"/>
      <c r="F484" s="5"/>
    </row>
    <row r="485" spans="2:6">
      <c r="B485" s="1"/>
      <c r="C485" s="1"/>
      <c r="D485" s="1"/>
      <c r="E485" s="8"/>
      <c r="F485" s="5"/>
    </row>
    <row r="486" spans="2:6">
      <c r="B486" s="1"/>
      <c r="C486" s="1"/>
      <c r="D486" s="1"/>
      <c r="E486" s="8"/>
      <c r="F486" s="5"/>
    </row>
    <row r="487" spans="2:6">
      <c r="B487" s="1"/>
      <c r="C487" s="1"/>
      <c r="D487" s="1"/>
      <c r="E487" s="8"/>
      <c r="F487" s="5"/>
    </row>
    <row r="488" spans="2:6">
      <c r="B488" s="1"/>
      <c r="C488" s="1"/>
      <c r="D488" s="1"/>
      <c r="E488" s="8"/>
      <c r="F488" s="5"/>
    </row>
    <row r="489" spans="2:6">
      <c r="B489" s="1"/>
      <c r="C489" s="1"/>
      <c r="D489" s="1"/>
      <c r="E489" s="8"/>
      <c r="F489" s="5"/>
    </row>
    <row r="490" spans="2:6">
      <c r="B490" s="1"/>
      <c r="C490" s="1"/>
      <c r="D490" s="1"/>
      <c r="E490" s="8"/>
      <c r="F490" s="5"/>
    </row>
    <row r="491" spans="2:6">
      <c r="B491" s="1"/>
      <c r="C491" s="1"/>
      <c r="D491" s="1"/>
      <c r="E491" s="8"/>
      <c r="F491" s="5"/>
    </row>
    <row r="492" spans="2:6">
      <c r="B492" s="1"/>
      <c r="C492" s="1"/>
      <c r="D492" s="1"/>
      <c r="E492" s="8"/>
      <c r="F492" s="5"/>
    </row>
    <row r="493" spans="2:6">
      <c r="B493" s="1"/>
      <c r="C493" s="1"/>
      <c r="D493" s="1"/>
      <c r="E493" s="8"/>
      <c r="F493" s="5"/>
    </row>
    <row r="494" spans="2:6">
      <c r="B494" s="1"/>
      <c r="C494" s="1"/>
      <c r="D494" s="1"/>
      <c r="E494" s="8"/>
      <c r="F494" s="5"/>
    </row>
    <row r="495" spans="2:6">
      <c r="B495" s="1"/>
      <c r="C495" s="1"/>
      <c r="D495" s="1"/>
      <c r="E495" s="8"/>
      <c r="F495" s="5"/>
    </row>
    <row r="496" spans="2:6">
      <c r="B496" s="1"/>
      <c r="C496" s="1"/>
      <c r="D496" s="1"/>
      <c r="E496" s="8"/>
      <c r="F496" s="5"/>
    </row>
    <row r="497" spans="2:6">
      <c r="B497" s="1"/>
      <c r="C497" s="1"/>
      <c r="D497" s="1"/>
      <c r="E497" s="8"/>
      <c r="F497" s="5"/>
    </row>
    <row r="498" spans="2:6">
      <c r="B498" s="1"/>
      <c r="C498" s="1"/>
      <c r="D498" s="1"/>
      <c r="E498" s="8"/>
      <c r="F498" s="5"/>
    </row>
    <row r="499" spans="2:6">
      <c r="B499" s="1"/>
      <c r="C499" s="1"/>
      <c r="D499" s="1"/>
      <c r="E499" s="8"/>
      <c r="F499" s="5"/>
    </row>
    <row r="500" spans="2:6">
      <c r="B500" s="1"/>
      <c r="C500" s="1"/>
      <c r="D500" s="1"/>
      <c r="E500" s="8"/>
      <c r="F500" s="5"/>
    </row>
    <row r="501" spans="2:6">
      <c r="B501" s="1"/>
      <c r="C501" s="1"/>
      <c r="D501" s="1"/>
      <c r="E501" s="8"/>
      <c r="F501" s="5"/>
    </row>
    <row r="502" spans="2:6">
      <c r="B502" s="1"/>
      <c r="C502" s="1"/>
      <c r="D502" s="1"/>
      <c r="E502" s="8"/>
      <c r="F502" s="5"/>
    </row>
    <row r="503" spans="2:6">
      <c r="B503" s="1"/>
      <c r="C503" s="1"/>
      <c r="D503" s="1"/>
      <c r="E503" s="8"/>
      <c r="F503" s="5"/>
    </row>
    <row r="504" spans="2:6">
      <c r="B504" s="1"/>
      <c r="C504" s="1"/>
      <c r="D504" s="1"/>
      <c r="E504" s="8"/>
      <c r="F504" s="5"/>
    </row>
    <row r="505" spans="2:6">
      <c r="B505" s="1"/>
      <c r="C505" s="1"/>
      <c r="D505" s="1"/>
      <c r="E505" s="8"/>
      <c r="F505" s="5"/>
    </row>
    <row r="506" spans="2:6">
      <c r="B506" s="1"/>
      <c r="C506" s="1"/>
      <c r="D506" s="1"/>
      <c r="E506" s="8"/>
      <c r="F506" s="5"/>
    </row>
    <row r="507" spans="2:6">
      <c r="B507" s="1"/>
      <c r="C507" s="1"/>
      <c r="D507" s="1"/>
      <c r="E507" s="8"/>
      <c r="F507" s="5"/>
    </row>
    <row r="508" spans="2:6">
      <c r="B508" s="1"/>
      <c r="C508" s="1"/>
      <c r="D508" s="1"/>
      <c r="E508" s="8"/>
      <c r="F508" s="5"/>
    </row>
    <row r="509" spans="2:6">
      <c r="B509" s="1"/>
      <c r="C509" s="1"/>
      <c r="D509" s="1"/>
      <c r="E509" s="8"/>
      <c r="F509" s="5"/>
    </row>
    <row r="510" spans="2:6">
      <c r="B510" s="1"/>
      <c r="C510" s="1"/>
      <c r="D510" s="1"/>
      <c r="E510" s="8"/>
      <c r="F510" s="5"/>
    </row>
    <row r="511" spans="2:6">
      <c r="B511" s="1"/>
      <c r="C511" s="1"/>
      <c r="D511" s="1"/>
      <c r="E511" s="8"/>
      <c r="F511" s="5"/>
    </row>
    <row r="512" spans="2:6">
      <c r="B512" s="1"/>
      <c r="C512" s="1"/>
      <c r="D512" s="1"/>
      <c r="E512" s="8"/>
      <c r="F512" s="5"/>
    </row>
    <row r="513" spans="2:6">
      <c r="B513" s="1"/>
      <c r="C513" s="1"/>
      <c r="D513" s="1"/>
      <c r="E513" s="8"/>
      <c r="F513" s="5"/>
    </row>
    <row r="514" spans="2:6">
      <c r="B514" s="1"/>
      <c r="C514" s="1"/>
      <c r="D514" s="1"/>
      <c r="E514" s="8"/>
      <c r="F514" s="5"/>
    </row>
    <row r="515" spans="2:6">
      <c r="B515" s="1"/>
      <c r="C515" s="1"/>
      <c r="D515" s="1"/>
      <c r="E515" s="8"/>
      <c r="F515" s="5"/>
    </row>
    <row r="516" spans="2:6">
      <c r="B516" s="1"/>
      <c r="C516" s="1"/>
      <c r="D516" s="1"/>
      <c r="E516" s="8"/>
      <c r="F516" s="5"/>
    </row>
    <row r="517" spans="2:6">
      <c r="B517" s="1"/>
      <c r="C517" s="1"/>
      <c r="D517" s="1"/>
      <c r="E517" s="8"/>
      <c r="F517" s="5"/>
    </row>
    <row r="518" spans="2:6">
      <c r="B518" s="1"/>
      <c r="C518" s="1"/>
      <c r="D518" s="1"/>
      <c r="E518" s="8"/>
      <c r="F518" s="5"/>
    </row>
    <row r="519" spans="2:6">
      <c r="B519" s="1"/>
      <c r="C519" s="1"/>
      <c r="D519" s="1"/>
      <c r="E519" s="8"/>
      <c r="F519" s="5"/>
    </row>
    <row r="520" spans="2:6">
      <c r="B520" s="1"/>
      <c r="C520" s="1"/>
      <c r="D520" s="1"/>
      <c r="E520" s="8"/>
      <c r="F520" s="5"/>
    </row>
    <row r="521" spans="2:6">
      <c r="B521" s="1"/>
      <c r="C521" s="1"/>
      <c r="D521" s="1"/>
      <c r="E521" s="8"/>
      <c r="F521" s="5"/>
    </row>
    <row r="522" spans="2:6">
      <c r="B522" s="1"/>
      <c r="C522" s="1"/>
      <c r="D522" s="1"/>
      <c r="E522" s="8"/>
      <c r="F522" s="5"/>
    </row>
    <row r="523" spans="2:6">
      <c r="B523" s="1"/>
      <c r="C523" s="1"/>
      <c r="D523" s="1"/>
      <c r="E523" s="8"/>
      <c r="F523" s="5"/>
    </row>
    <row r="524" spans="2:6">
      <c r="B524" s="1"/>
      <c r="C524" s="1"/>
      <c r="D524" s="1"/>
      <c r="E524" s="8"/>
      <c r="F524" s="5"/>
    </row>
    <row r="525" spans="2:6">
      <c r="B525" s="1"/>
      <c r="C525" s="1"/>
      <c r="D525" s="1"/>
      <c r="E525" s="8"/>
      <c r="F525" s="5"/>
    </row>
    <row r="526" spans="2:6">
      <c r="B526" s="1"/>
      <c r="C526" s="1"/>
      <c r="D526" s="1"/>
      <c r="E526" s="8"/>
      <c r="F526" s="5"/>
    </row>
    <row r="527" spans="2:6">
      <c r="B527" s="1"/>
      <c r="C527" s="1"/>
      <c r="D527" s="1"/>
      <c r="E527" s="8"/>
      <c r="F527" s="5"/>
    </row>
    <row r="528" spans="2:6">
      <c r="B528" s="1"/>
      <c r="C528" s="1"/>
      <c r="D528" s="1"/>
      <c r="E528" s="8"/>
      <c r="F528" s="5"/>
    </row>
    <row r="529" spans="2:6">
      <c r="B529" s="1"/>
      <c r="C529" s="1"/>
      <c r="D529" s="1"/>
      <c r="E529" s="8"/>
      <c r="F529" s="5"/>
    </row>
    <row r="530" spans="2:6">
      <c r="B530" s="1"/>
      <c r="C530" s="1"/>
      <c r="D530" s="1"/>
      <c r="E530" s="8"/>
      <c r="F530" s="5"/>
    </row>
    <row r="531" spans="2:6">
      <c r="B531" s="1"/>
      <c r="C531" s="1"/>
      <c r="D531" s="1"/>
      <c r="E531" s="8"/>
      <c r="F531" s="5"/>
    </row>
    <row r="532" spans="2:6">
      <c r="B532" s="1"/>
      <c r="C532" s="1"/>
      <c r="D532" s="1"/>
      <c r="E532" s="8"/>
      <c r="F532" s="5"/>
    </row>
    <row r="533" spans="2:6">
      <c r="B533" s="1"/>
      <c r="C533" s="1"/>
      <c r="D533" s="1"/>
      <c r="E533" s="8"/>
      <c r="F533" s="5"/>
    </row>
    <row r="534" spans="2:6">
      <c r="B534" s="1"/>
      <c r="C534" s="1"/>
      <c r="D534" s="1"/>
      <c r="E534" s="8"/>
      <c r="F534" s="5"/>
    </row>
    <row r="535" spans="2:6">
      <c r="B535" s="1"/>
      <c r="C535" s="1"/>
      <c r="D535" s="1"/>
      <c r="E535" s="8"/>
      <c r="F535" s="5"/>
    </row>
    <row r="536" spans="2:6">
      <c r="B536" s="1"/>
      <c r="C536" s="1"/>
      <c r="D536" s="1"/>
      <c r="E536" s="8"/>
      <c r="F536" s="5"/>
    </row>
    <row r="537" spans="2:6">
      <c r="B537" s="1"/>
      <c r="C537" s="1"/>
      <c r="D537" s="1"/>
      <c r="E537" s="8"/>
      <c r="F537" s="5"/>
    </row>
    <row r="538" spans="2:6">
      <c r="B538" s="1"/>
      <c r="C538" s="1"/>
      <c r="D538" s="1"/>
      <c r="E538" s="8"/>
      <c r="F538" s="5"/>
    </row>
    <row r="539" spans="2:6">
      <c r="B539" s="1"/>
      <c r="C539" s="1"/>
      <c r="D539" s="1"/>
      <c r="E539" s="8"/>
      <c r="F539" s="5"/>
    </row>
    <row r="540" spans="2:6">
      <c r="B540" s="1"/>
      <c r="C540" s="1"/>
      <c r="D540" s="1"/>
      <c r="E540" s="8"/>
      <c r="F540" s="5"/>
    </row>
    <row r="541" spans="2:6">
      <c r="B541" s="1"/>
      <c r="C541" s="1"/>
      <c r="D541" s="1"/>
      <c r="E541" s="8"/>
      <c r="F541" s="5"/>
    </row>
    <row r="542" spans="2:6">
      <c r="B542" s="1"/>
      <c r="C542" s="1"/>
      <c r="D542" s="1"/>
      <c r="E542" s="8"/>
      <c r="F542" s="5"/>
    </row>
    <row r="543" spans="2:6">
      <c r="B543" s="1"/>
      <c r="C543" s="1"/>
      <c r="D543" s="1"/>
      <c r="E543" s="8"/>
      <c r="F543" s="5"/>
    </row>
    <row r="544" spans="2:6">
      <c r="B544" s="1"/>
      <c r="C544" s="1"/>
      <c r="D544" s="1"/>
      <c r="E544" s="8"/>
      <c r="F544" s="5"/>
    </row>
    <row r="545" spans="2:6">
      <c r="B545" s="1"/>
      <c r="C545" s="1"/>
      <c r="D545" s="1"/>
      <c r="E545" s="8"/>
      <c r="F545" s="5"/>
    </row>
    <row r="546" spans="2:6">
      <c r="B546" s="1"/>
      <c r="C546" s="1"/>
      <c r="D546" s="1"/>
      <c r="E546" s="8"/>
      <c r="F546" s="5"/>
    </row>
    <row r="547" spans="2:6">
      <c r="B547" s="1"/>
      <c r="C547" s="1"/>
      <c r="D547" s="1"/>
      <c r="E547" s="8"/>
      <c r="F547" s="5"/>
    </row>
    <row r="548" spans="2:6">
      <c r="B548" s="1"/>
      <c r="C548" s="1"/>
      <c r="D548" s="1"/>
      <c r="E548" s="8"/>
      <c r="F548" s="5"/>
    </row>
    <row r="549" spans="2:6">
      <c r="B549" s="1"/>
      <c r="C549" s="1"/>
      <c r="D549" s="1"/>
      <c r="E549" s="8"/>
      <c r="F549" s="5"/>
    </row>
    <row r="550" spans="2:6">
      <c r="B550" s="1"/>
      <c r="C550" s="1"/>
      <c r="D550" s="1"/>
      <c r="E550" s="8"/>
      <c r="F550" s="5"/>
    </row>
    <row r="551" spans="2:6">
      <c r="B551" s="1"/>
      <c r="C551" s="1"/>
      <c r="D551" s="1"/>
      <c r="E551" s="8"/>
      <c r="F551" s="5"/>
    </row>
    <row r="552" spans="2:6">
      <c r="B552" s="1"/>
      <c r="C552" s="1"/>
      <c r="D552" s="1"/>
      <c r="E552" s="8"/>
      <c r="F552" s="5"/>
    </row>
    <row r="553" spans="2:6">
      <c r="B553" s="1"/>
      <c r="C553" s="1"/>
      <c r="D553" s="1"/>
      <c r="E553" s="8"/>
      <c r="F553" s="5"/>
    </row>
    <row r="554" spans="2:6">
      <c r="B554" s="1"/>
      <c r="C554" s="1"/>
      <c r="D554" s="1"/>
      <c r="E554" s="8"/>
      <c r="F554" s="5"/>
    </row>
    <row r="555" spans="2:6">
      <c r="B555" s="1"/>
      <c r="C555" s="1"/>
      <c r="D555" s="1"/>
      <c r="E555" s="8"/>
      <c r="F555" s="5"/>
    </row>
    <row r="556" spans="2:6">
      <c r="B556" s="1"/>
      <c r="C556" s="1"/>
      <c r="D556" s="1"/>
      <c r="E556" s="8"/>
      <c r="F556" s="5"/>
    </row>
    <row r="557" spans="2:6">
      <c r="B557" s="1"/>
      <c r="C557" s="1"/>
      <c r="D557" s="1"/>
      <c r="E557" s="8"/>
      <c r="F557" s="5"/>
    </row>
    <row r="558" spans="2:6">
      <c r="B558" s="1"/>
      <c r="C558" s="1"/>
      <c r="D558" s="1"/>
      <c r="E558" s="8"/>
      <c r="F558" s="5"/>
    </row>
    <row r="559" spans="2:6">
      <c r="B559" s="1"/>
      <c r="C559" s="1"/>
      <c r="D559" s="1"/>
      <c r="E559" s="8"/>
      <c r="F559" s="5"/>
    </row>
    <row r="560" spans="2:6">
      <c r="B560" s="1"/>
      <c r="C560" s="1"/>
      <c r="D560" s="1"/>
      <c r="E560" s="8"/>
      <c r="F560" s="5"/>
    </row>
    <row r="561" spans="2:6">
      <c r="B561" s="1"/>
      <c r="C561" s="1"/>
      <c r="D561" s="1"/>
      <c r="E561" s="8"/>
      <c r="F561" s="5"/>
    </row>
    <row r="562" spans="2:6">
      <c r="B562" s="1"/>
      <c r="C562" s="1"/>
      <c r="D562" s="1"/>
      <c r="E562" s="8"/>
      <c r="F562" s="5"/>
    </row>
    <row r="563" spans="2:6">
      <c r="B563" s="1"/>
      <c r="C563" s="1"/>
      <c r="D563" s="1"/>
      <c r="E563" s="8"/>
      <c r="F563" s="5"/>
    </row>
    <row r="564" spans="2:6">
      <c r="B564" s="1"/>
      <c r="C564" s="1"/>
      <c r="D564" s="1"/>
      <c r="E564" s="8"/>
      <c r="F564" s="5"/>
    </row>
    <row r="565" spans="2:6">
      <c r="B565" s="1"/>
      <c r="C565" s="1"/>
      <c r="D565" s="1"/>
      <c r="E565" s="8"/>
      <c r="F565" s="5"/>
    </row>
    <row r="566" spans="2:6">
      <c r="B566" s="1"/>
      <c r="C566" s="1"/>
      <c r="D566" s="1"/>
      <c r="E566" s="8"/>
      <c r="F566" s="5"/>
    </row>
    <row r="567" spans="2:6">
      <c r="B567" s="1"/>
      <c r="C567" s="1"/>
      <c r="D567" s="1"/>
      <c r="E567" s="8"/>
      <c r="F567" s="5"/>
    </row>
    <row r="568" spans="2:6">
      <c r="B568" s="1"/>
      <c r="C568" s="1"/>
      <c r="D568" s="1"/>
      <c r="E568" s="8"/>
      <c r="F568" s="5"/>
    </row>
    <row r="569" spans="2:6">
      <c r="B569" s="1"/>
      <c r="C569" s="1"/>
      <c r="D569" s="1"/>
      <c r="E569" s="8"/>
      <c r="F569" s="5"/>
    </row>
    <row r="570" spans="2:6">
      <c r="B570" s="1"/>
      <c r="C570" s="1"/>
      <c r="D570" s="1"/>
      <c r="E570" s="8"/>
      <c r="F570" s="5"/>
    </row>
    <row r="571" spans="2:6">
      <c r="B571" s="1"/>
      <c r="C571" s="1"/>
      <c r="D571" s="1"/>
      <c r="E571" s="8"/>
      <c r="F571" s="5"/>
    </row>
    <row r="572" spans="2:6">
      <c r="B572" s="1"/>
      <c r="C572" s="1"/>
      <c r="D572" s="1"/>
      <c r="E572" s="8"/>
      <c r="F572" s="5"/>
    </row>
    <row r="573" spans="2:6">
      <c r="B573" s="1"/>
      <c r="C573" s="1"/>
      <c r="D573" s="1"/>
      <c r="E573" s="8"/>
      <c r="F573" s="5"/>
    </row>
    <row r="574" spans="2:6">
      <c r="B574" s="1"/>
      <c r="C574" s="1"/>
      <c r="D574" s="1"/>
      <c r="E574" s="8"/>
      <c r="F574" s="5"/>
    </row>
    <row r="575" spans="2:6">
      <c r="B575" s="1"/>
      <c r="C575" s="1"/>
      <c r="D575" s="1"/>
      <c r="E575" s="8"/>
      <c r="F575" s="5"/>
    </row>
    <row r="576" spans="2:6">
      <c r="B576" s="1"/>
      <c r="C576" s="1"/>
      <c r="D576" s="1"/>
      <c r="E576" s="8"/>
      <c r="F576" s="5"/>
    </row>
    <row r="577" spans="2:6">
      <c r="B577" s="1"/>
      <c r="C577" s="1"/>
      <c r="D577" s="1"/>
      <c r="E577" s="8"/>
      <c r="F577" s="5"/>
    </row>
    <row r="578" spans="2:6">
      <c r="B578" s="1"/>
      <c r="C578" s="1"/>
      <c r="D578" s="1"/>
      <c r="E578" s="8"/>
      <c r="F578" s="5"/>
    </row>
    <row r="579" spans="2:6">
      <c r="B579" s="1"/>
      <c r="C579" s="1"/>
      <c r="D579" s="1"/>
      <c r="E579" s="8"/>
      <c r="F579" s="5"/>
    </row>
    <row r="580" spans="2:6">
      <c r="B580" s="1"/>
      <c r="C580" s="1"/>
      <c r="D580" s="1"/>
      <c r="E580" s="8"/>
      <c r="F580" s="5"/>
    </row>
    <row r="581" spans="2:6">
      <c r="B581" s="1"/>
      <c r="C581" s="1"/>
      <c r="D581" s="1"/>
      <c r="E581" s="8"/>
      <c r="F581" s="5"/>
    </row>
    <row r="582" spans="2:6">
      <c r="B582" s="1"/>
      <c r="C582" s="1"/>
      <c r="D582" s="1"/>
      <c r="E582" s="8"/>
      <c r="F582" s="5"/>
    </row>
    <row r="583" spans="2:6">
      <c r="B583" s="1"/>
      <c r="C583" s="1"/>
      <c r="D583" s="1"/>
      <c r="E583" s="8"/>
      <c r="F583" s="5"/>
    </row>
    <row r="584" spans="2:6">
      <c r="B584" s="1"/>
      <c r="C584" s="1"/>
      <c r="D584" s="1"/>
      <c r="E584" s="8"/>
      <c r="F584" s="5"/>
    </row>
    <row r="585" spans="2:6">
      <c r="B585" s="1"/>
      <c r="C585" s="1"/>
      <c r="D585" s="1"/>
      <c r="E585" s="8"/>
      <c r="F585" s="5"/>
    </row>
    <row r="586" spans="2:6">
      <c r="B586" s="1"/>
      <c r="C586" s="1"/>
      <c r="D586" s="1"/>
      <c r="E586" s="8"/>
      <c r="F586" s="5"/>
    </row>
    <row r="587" spans="2:6">
      <c r="B587" s="1"/>
      <c r="C587" s="1"/>
      <c r="D587" s="1"/>
      <c r="E587" s="8"/>
      <c r="F587" s="5"/>
    </row>
    <row r="588" spans="2:6">
      <c r="B588" s="1"/>
      <c r="C588" s="1"/>
      <c r="D588" s="1"/>
      <c r="E588" s="8"/>
      <c r="F588" s="5"/>
    </row>
    <row r="589" spans="2:6">
      <c r="B589" s="1"/>
      <c r="C589" s="1"/>
      <c r="D589" s="1"/>
      <c r="E589" s="8"/>
      <c r="F589" s="5"/>
    </row>
    <row r="590" spans="2:6">
      <c r="B590" s="1"/>
      <c r="C590" s="1"/>
      <c r="D590" s="1"/>
      <c r="E590" s="8"/>
      <c r="F590" s="5"/>
    </row>
    <row r="591" spans="2:6">
      <c r="B591" s="1"/>
      <c r="C591" s="1"/>
      <c r="D591" s="1"/>
      <c r="E591" s="8"/>
      <c r="F591" s="5"/>
    </row>
    <row r="592" spans="2:6">
      <c r="B592" s="1"/>
      <c r="C592" s="1"/>
      <c r="D592" s="1"/>
      <c r="E592" s="8"/>
      <c r="F592" s="5"/>
    </row>
    <row r="593" spans="2:6">
      <c r="B593" s="1"/>
      <c r="C593" s="1"/>
      <c r="D593" s="1"/>
      <c r="E593" s="8"/>
      <c r="F593" s="5"/>
    </row>
    <row r="594" spans="2:6">
      <c r="B594" s="1"/>
      <c r="C594" s="1"/>
      <c r="D594" s="1"/>
      <c r="E594" s="8"/>
      <c r="F594" s="5"/>
    </row>
    <row r="595" spans="2:6">
      <c r="B595" s="1"/>
      <c r="C595" s="1"/>
      <c r="D595" s="1"/>
      <c r="E595" s="8"/>
      <c r="F595" s="5"/>
    </row>
    <row r="596" spans="2:6">
      <c r="B596" s="1"/>
      <c r="C596" s="1"/>
      <c r="D596" s="1"/>
      <c r="E596" s="8"/>
      <c r="F596" s="5"/>
    </row>
    <row r="597" spans="2:6">
      <c r="B597" s="1"/>
      <c r="C597" s="1"/>
      <c r="D597" s="1"/>
      <c r="E597" s="8"/>
      <c r="F597" s="5"/>
    </row>
    <row r="598" spans="2:6">
      <c r="B598" s="1"/>
      <c r="C598" s="1"/>
      <c r="D598" s="1"/>
      <c r="E598" s="8"/>
      <c r="F598" s="5"/>
    </row>
    <row r="599" spans="2:6">
      <c r="B599" s="1"/>
      <c r="C599" s="1"/>
      <c r="D599" s="1"/>
      <c r="E599" s="8"/>
      <c r="F599" s="5"/>
    </row>
    <row r="600" spans="2:6">
      <c r="B600" s="1"/>
      <c r="C600" s="1"/>
      <c r="D600" s="1"/>
      <c r="E600" s="8"/>
      <c r="F600" s="5"/>
    </row>
    <row r="601" spans="2:6">
      <c r="B601" s="1"/>
      <c r="C601" s="1"/>
      <c r="D601" s="1"/>
      <c r="E601" s="8"/>
      <c r="F601" s="5"/>
    </row>
    <row r="602" spans="2:6">
      <c r="B602" s="1"/>
      <c r="C602" s="1"/>
      <c r="D602" s="1"/>
      <c r="E602" s="8"/>
      <c r="F602" s="5"/>
    </row>
    <row r="603" spans="2:6">
      <c r="B603" s="1"/>
      <c r="C603" s="1"/>
      <c r="D603" s="1"/>
      <c r="E603" s="8"/>
      <c r="F603" s="5"/>
    </row>
    <row r="604" spans="2:6">
      <c r="B604" s="1"/>
      <c r="C604" s="1"/>
      <c r="D604" s="1"/>
      <c r="E604" s="8"/>
      <c r="F604" s="5"/>
    </row>
    <row r="605" spans="2:6">
      <c r="B605" s="1"/>
      <c r="C605" s="1"/>
      <c r="D605" s="1"/>
      <c r="E605" s="8"/>
      <c r="F605" s="5"/>
    </row>
    <row r="606" spans="2:6">
      <c r="B606" s="1"/>
      <c r="C606" s="1"/>
      <c r="D606" s="1"/>
      <c r="E606" s="8"/>
      <c r="F606" s="5"/>
    </row>
    <row r="607" spans="2:6">
      <c r="B607" s="1"/>
      <c r="C607" s="1"/>
      <c r="D607" s="1"/>
      <c r="E607" s="8"/>
      <c r="F607" s="5"/>
    </row>
    <row r="608" spans="2:6">
      <c r="B608" s="1"/>
      <c r="C608" s="1"/>
      <c r="D608" s="1"/>
      <c r="E608" s="8"/>
      <c r="F608" s="5"/>
    </row>
    <row r="609" spans="2:6">
      <c r="B609" s="1"/>
      <c r="C609" s="1"/>
      <c r="D609" s="1"/>
      <c r="E609" s="8"/>
      <c r="F609" s="5"/>
    </row>
    <row r="610" spans="2:6">
      <c r="B610" s="1"/>
      <c r="C610" s="1"/>
      <c r="D610" s="1"/>
      <c r="E610" s="8"/>
      <c r="F610" s="5"/>
    </row>
    <row r="611" spans="2:6">
      <c r="B611" s="1"/>
      <c r="C611" s="1"/>
      <c r="D611" s="1"/>
      <c r="E611" s="8"/>
      <c r="F611" s="5"/>
    </row>
    <row r="612" spans="2:6">
      <c r="B612" s="1"/>
      <c r="C612" s="1"/>
      <c r="D612" s="1"/>
      <c r="E612" s="8"/>
      <c r="F612" s="5"/>
    </row>
    <row r="613" spans="2:6">
      <c r="B613" s="1"/>
      <c r="C613" s="1"/>
      <c r="D613" s="1"/>
      <c r="E613" s="8"/>
      <c r="F613" s="5"/>
    </row>
    <row r="614" spans="2:6">
      <c r="B614" s="1"/>
      <c r="C614" s="1"/>
      <c r="D614" s="1"/>
      <c r="E614" s="8"/>
      <c r="F614" s="5"/>
    </row>
    <row r="615" spans="2:6">
      <c r="B615" s="1"/>
      <c r="C615" s="1"/>
      <c r="D615" s="1"/>
      <c r="E615" s="8"/>
      <c r="F615" s="5"/>
    </row>
    <row r="616" spans="2:6">
      <c r="B616" s="1"/>
      <c r="C616" s="1"/>
      <c r="D616" s="1"/>
      <c r="E616" s="8"/>
      <c r="F616" s="5"/>
    </row>
    <row r="617" spans="2:6">
      <c r="B617" s="1"/>
      <c r="C617" s="1"/>
      <c r="D617" s="1"/>
      <c r="E617" s="8"/>
      <c r="F617" s="5"/>
    </row>
    <row r="618" spans="2:6">
      <c r="B618" s="1"/>
      <c r="C618" s="1"/>
      <c r="D618" s="1"/>
      <c r="E618" s="8"/>
      <c r="F618" s="5"/>
    </row>
    <row r="619" spans="2:6">
      <c r="B619" s="1"/>
      <c r="C619" s="1"/>
      <c r="D619" s="1"/>
      <c r="E619" s="8"/>
      <c r="F619" s="5"/>
    </row>
    <row r="620" spans="2:6">
      <c r="B620" s="1"/>
      <c r="C620" s="1"/>
      <c r="D620" s="1"/>
      <c r="E620" s="8"/>
      <c r="F620" s="5"/>
    </row>
    <row r="621" spans="2:6">
      <c r="B621" s="1"/>
      <c r="C621" s="1"/>
      <c r="D621" s="1"/>
      <c r="E621" s="8"/>
      <c r="F621" s="5"/>
    </row>
    <row r="622" spans="2:6">
      <c r="B622" s="1"/>
      <c r="C622" s="1"/>
      <c r="D622" s="1"/>
      <c r="E622" s="8"/>
      <c r="F622" s="5"/>
    </row>
    <row r="623" spans="2:6">
      <c r="B623" s="1"/>
      <c r="C623" s="1"/>
      <c r="D623" s="1"/>
      <c r="E623" s="8"/>
      <c r="F623" s="5"/>
    </row>
    <row r="624" spans="2:6">
      <c r="B624" s="1"/>
      <c r="C624" s="1"/>
      <c r="D624" s="1"/>
      <c r="E624" s="8"/>
      <c r="F624" s="5"/>
    </row>
    <row r="625" spans="2:6">
      <c r="B625" s="1"/>
      <c r="C625" s="1"/>
      <c r="D625" s="1"/>
      <c r="E625" s="8"/>
      <c r="F625" s="5"/>
    </row>
    <row r="626" spans="2:6">
      <c r="B626" s="1"/>
      <c r="C626" s="1"/>
      <c r="D626" s="1"/>
      <c r="E626" s="8"/>
      <c r="F626" s="5"/>
    </row>
    <row r="627" spans="2:6">
      <c r="B627" s="1"/>
      <c r="C627" s="1"/>
      <c r="D627" s="1"/>
      <c r="E627" s="8"/>
      <c r="F627" s="5"/>
    </row>
    <row r="628" spans="2:6">
      <c r="B628" s="1"/>
      <c r="C628" s="1"/>
      <c r="D628" s="1"/>
      <c r="E628" s="8"/>
      <c r="F628" s="5"/>
    </row>
    <row r="629" spans="2:6">
      <c r="B629" s="1"/>
      <c r="C629" s="1"/>
      <c r="D629" s="1"/>
      <c r="E629" s="8"/>
      <c r="F629" s="5"/>
    </row>
    <row r="630" spans="2:6">
      <c r="B630" s="1"/>
      <c r="C630" s="1"/>
      <c r="D630" s="1"/>
      <c r="E630" s="8"/>
      <c r="F630" s="5"/>
    </row>
    <row r="631" spans="2:6">
      <c r="B631" s="1"/>
      <c r="C631" s="1"/>
      <c r="D631" s="1"/>
      <c r="E631" s="8"/>
      <c r="F631" s="5"/>
    </row>
    <row r="632" spans="2:6">
      <c r="B632" s="1"/>
      <c r="C632" s="1"/>
      <c r="D632" s="1"/>
      <c r="E632" s="8"/>
      <c r="F632" s="5"/>
    </row>
    <row r="633" spans="2:6">
      <c r="B633" s="1"/>
      <c r="C633" s="1"/>
      <c r="D633" s="1"/>
      <c r="E633" s="8"/>
      <c r="F633" s="5"/>
    </row>
    <row r="634" spans="2:6">
      <c r="B634" s="1"/>
      <c r="C634" s="1"/>
      <c r="D634" s="1"/>
      <c r="E634" s="8"/>
      <c r="F634" s="5"/>
    </row>
    <row r="635" spans="2:6">
      <c r="B635" s="1"/>
      <c r="C635" s="1"/>
      <c r="D635" s="1"/>
      <c r="E635" s="8"/>
      <c r="F635" s="5"/>
    </row>
    <row r="636" spans="2:6">
      <c r="B636" s="1"/>
      <c r="C636" s="1"/>
      <c r="D636" s="1"/>
      <c r="E636" s="8"/>
      <c r="F636" s="5"/>
    </row>
    <row r="637" spans="2:6">
      <c r="B637" s="1"/>
      <c r="C637" s="1"/>
      <c r="D637" s="1"/>
      <c r="E637" s="8"/>
      <c r="F637" s="5"/>
    </row>
    <row r="638" spans="2:6">
      <c r="B638" s="1"/>
      <c r="C638" s="1"/>
      <c r="D638" s="1"/>
      <c r="E638" s="8"/>
      <c r="F638" s="5"/>
    </row>
    <row r="639" spans="2:6">
      <c r="B639" s="1"/>
      <c r="C639" s="1"/>
      <c r="D639" s="1"/>
      <c r="E639" s="8"/>
      <c r="F639" s="5"/>
    </row>
    <row r="640" spans="2:6">
      <c r="B640" s="1"/>
      <c r="C640" s="1"/>
      <c r="D640" s="1"/>
      <c r="E640" s="8"/>
      <c r="F640" s="5"/>
    </row>
    <row r="641" spans="2:6">
      <c r="B641" s="1"/>
      <c r="C641" s="1"/>
      <c r="D641" s="1"/>
      <c r="E641" s="8"/>
      <c r="F641" s="5"/>
    </row>
    <row r="642" spans="2:6">
      <c r="B642" s="1"/>
      <c r="C642" s="1"/>
      <c r="D642" s="1"/>
      <c r="E642" s="8"/>
      <c r="F642" s="5"/>
    </row>
    <row r="643" spans="2:6">
      <c r="B643" s="1"/>
      <c r="C643" s="1"/>
      <c r="D643" s="1"/>
      <c r="E643" s="8"/>
      <c r="F643" s="5"/>
    </row>
    <row r="644" spans="2:6">
      <c r="B644" s="1"/>
      <c r="C644" s="1"/>
      <c r="D644" s="1"/>
      <c r="E644" s="8"/>
      <c r="F644" s="5"/>
    </row>
    <row r="645" spans="2:6">
      <c r="B645" s="1"/>
      <c r="C645" s="1"/>
      <c r="D645" s="1"/>
      <c r="E645" s="8"/>
      <c r="F645" s="5"/>
    </row>
    <row r="646" spans="2:6">
      <c r="B646" s="1"/>
      <c r="C646" s="1"/>
      <c r="D646" s="1"/>
      <c r="E646" s="8"/>
      <c r="F646" s="5"/>
    </row>
    <row r="647" spans="2:6">
      <c r="B647" s="1"/>
      <c r="C647" s="1"/>
      <c r="D647" s="1"/>
      <c r="E647" s="8"/>
      <c r="F647" s="5"/>
    </row>
    <row r="648" spans="2:6">
      <c r="B648" s="1"/>
      <c r="C648" s="1"/>
      <c r="D648" s="1"/>
      <c r="E648" s="8"/>
      <c r="F648" s="5"/>
    </row>
    <row r="649" spans="2:6">
      <c r="B649" s="1"/>
      <c r="C649" s="1"/>
      <c r="D649" s="1"/>
      <c r="E649" s="8"/>
      <c r="F649" s="5"/>
    </row>
    <row r="650" spans="2:6">
      <c r="B650" s="1"/>
      <c r="C650" s="1"/>
      <c r="D650" s="1"/>
      <c r="E650" s="8"/>
      <c r="F650" s="5"/>
    </row>
    <row r="651" spans="2:6">
      <c r="B651" s="1"/>
      <c r="C651" s="1"/>
      <c r="D651" s="1"/>
      <c r="E651" s="8"/>
      <c r="F651" s="5"/>
    </row>
    <row r="652" spans="2:6">
      <c r="B652" s="1"/>
      <c r="C652" s="1"/>
      <c r="D652" s="1"/>
      <c r="E652" s="8"/>
      <c r="F652" s="5"/>
    </row>
    <row r="653" spans="2:6">
      <c r="B653" s="1"/>
      <c r="C653" s="1"/>
      <c r="D653" s="1"/>
      <c r="E653" s="8"/>
      <c r="F653" s="5"/>
    </row>
    <row r="654" spans="2:6">
      <c r="B654" s="1"/>
      <c r="C654" s="1"/>
      <c r="D654" s="1"/>
      <c r="E654" s="8"/>
      <c r="F654" s="5"/>
    </row>
    <row r="655" spans="2:6">
      <c r="B655" s="1"/>
      <c r="C655" s="1"/>
      <c r="D655" s="1"/>
      <c r="E655" s="8"/>
      <c r="F655" s="5"/>
    </row>
    <row r="656" spans="2:6">
      <c r="B656" s="1"/>
      <c r="C656" s="1"/>
      <c r="D656" s="1"/>
      <c r="E656" s="8"/>
      <c r="F656" s="5"/>
    </row>
    <row r="657" spans="2:6">
      <c r="B657" s="1"/>
      <c r="C657" s="1"/>
      <c r="D657" s="1"/>
      <c r="E657" s="8"/>
      <c r="F657" s="5"/>
    </row>
    <row r="658" spans="2:6">
      <c r="B658" s="1"/>
      <c r="C658" s="1"/>
      <c r="D658" s="1"/>
      <c r="E658" s="8"/>
      <c r="F658" s="5"/>
    </row>
    <row r="659" spans="2:6">
      <c r="B659" s="1"/>
      <c r="C659" s="1"/>
      <c r="D659" s="1"/>
      <c r="E659" s="8"/>
      <c r="F659" s="5"/>
    </row>
    <row r="660" spans="2:6">
      <c r="B660" s="1"/>
      <c r="C660" s="1"/>
      <c r="D660" s="1"/>
      <c r="E660" s="8"/>
      <c r="F660" s="5"/>
    </row>
    <row r="661" spans="2:6">
      <c r="B661" s="1"/>
      <c r="C661" s="1"/>
      <c r="D661" s="1"/>
      <c r="E661" s="8"/>
      <c r="F661" s="5"/>
    </row>
    <row r="662" spans="2:6">
      <c r="B662" s="1"/>
      <c r="C662" s="1"/>
      <c r="D662" s="1"/>
      <c r="E662" s="8"/>
      <c r="F662" s="5"/>
    </row>
    <row r="663" spans="2:6">
      <c r="B663" s="1"/>
      <c r="C663" s="1"/>
      <c r="D663" s="1"/>
      <c r="E663" s="8"/>
      <c r="F663" s="5"/>
    </row>
    <row r="664" spans="2:6">
      <c r="B664" s="1"/>
      <c r="C664" s="1"/>
      <c r="D664" s="1"/>
      <c r="E664" s="8"/>
      <c r="F664" s="5"/>
    </row>
    <row r="665" spans="2:6">
      <c r="B665" s="1"/>
      <c r="C665" s="1"/>
      <c r="D665" s="1"/>
      <c r="E665" s="8"/>
      <c r="F665" s="5"/>
    </row>
    <row r="666" spans="2:6">
      <c r="B666" s="1"/>
      <c r="C666" s="1"/>
      <c r="D666" s="1"/>
      <c r="E666" s="8"/>
      <c r="F666" s="5"/>
    </row>
    <row r="667" spans="2:6">
      <c r="B667" s="1"/>
      <c r="C667" s="1"/>
      <c r="D667" s="1"/>
      <c r="E667" s="8"/>
      <c r="F667" s="5"/>
    </row>
    <row r="668" spans="2:6">
      <c r="B668" s="1"/>
      <c r="C668" s="1"/>
      <c r="D668" s="1"/>
      <c r="E668" s="8"/>
      <c r="F668" s="5"/>
    </row>
    <row r="669" spans="2:6">
      <c r="B669" s="1"/>
      <c r="C669" s="1"/>
      <c r="D669" s="1"/>
      <c r="E669" s="8"/>
      <c r="F669" s="5"/>
    </row>
    <row r="670" spans="2:6">
      <c r="B670" s="1"/>
      <c r="C670" s="1"/>
      <c r="D670" s="1"/>
      <c r="E670" s="8"/>
      <c r="F670" s="5"/>
    </row>
    <row r="671" spans="2:6">
      <c r="B671" s="1"/>
      <c r="C671" s="1"/>
      <c r="D671" s="1"/>
      <c r="E671" s="8"/>
      <c r="F671" s="5"/>
    </row>
    <row r="672" spans="2:6">
      <c r="B672" s="1"/>
      <c r="C672" s="1"/>
      <c r="D672" s="1"/>
      <c r="E672" s="8"/>
      <c r="F672" s="5"/>
    </row>
    <row r="673" spans="2:6">
      <c r="B673" s="1"/>
      <c r="C673" s="1"/>
      <c r="D673" s="1"/>
      <c r="E673" s="8"/>
      <c r="F673" s="5"/>
    </row>
    <row r="674" spans="2:6">
      <c r="B674" s="1"/>
      <c r="C674" s="1"/>
      <c r="D674" s="1"/>
      <c r="E674" s="8"/>
      <c r="F674" s="5"/>
    </row>
    <row r="675" spans="2:6">
      <c r="B675" s="1"/>
      <c r="C675" s="1"/>
      <c r="D675" s="1"/>
      <c r="E675" s="8"/>
      <c r="F675" s="5"/>
    </row>
    <row r="676" spans="2:6">
      <c r="B676" s="1"/>
      <c r="C676" s="1"/>
      <c r="D676" s="1"/>
      <c r="E676" s="8"/>
      <c r="F676" s="5"/>
    </row>
    <row r="677" spans="2:6">
      <c r="B677" s="1"/>
      <c r="C677" s="1"/>
      <c r="D677" s="1"/>
      <c r="E677" s="8"/>
      <c r="F677" s="5"/>
    </row>
    <row r="678" spans="2:6">
      <c r="B678" s="1"/>
      <c r="C678" s="1"/>
      <c r="D678" s="1"/>
      <c r="E678" s="8"/>
      <c r="F678" s="5"/>
    </row>
    <row r="679" spans="2:6">
      <c r="B679" s="1"/>
      <c r="C679" s="1"/>
      <c r="D679" s="1"/>
      <c r="E679" s="8"/>
      <c r="F679" s="5"/>
    </row>
    <row r="680" spans="2:6">
      <c r="B680" s="1"/>
      <c r="C680" s="1"/>
      <c r="D680" s="1"/>
      <c r="E680" s="8"/>
      <c r="F680" s="5"/>
    </row>
    <row r="681" spans="2:6">
      <c r="B681" s="1"/>
      <c r="C681" s="1"/>
      <c r="D681" s="1"/>
      <c r="E681" s="8"/>
      <c r="F681" s="5"/>
    </row>
    <row r="682" spans="2:6">
      <c r="B682" s="1"/>
      <c r="C682" s="1"/>
      <c r="D682" s="1"/>
      <c r="E682" s="8"/>
      <c r="F682" s="5"/>
    </row>
    <row r="683" spans="2:6">
      <c r="B683" s="1"/>
      <c r="C683" s="1"/>
      <c r="D683" s="1"/>
      <c r="E683" s="8"/>
      <c r="F683" s="5"/>
    </row>
    <row r="684" spans="2:6">
      <c r="B684" s="1"/>
      <c r="C684" s="1"/>
      <c r="D684" s="1"/>
      <c r="E684" s="8"/>
      <c r="F684" s="5"/>
    </row>
    <row r="685" spans="2:6">
      <c r="B685" s="1"/>
      <c r="C685" s="1"/>
      <c r="D685" s="1"/>
      <c r="E685" s="8"/>
      <c r="F685" s="5"/>
    </row>
    <row r="686" spans="2:6">
      <c r="B686" s="1"/>
      <c r="C686" s="1"/>
      <c r="D686" s="1"/>
      <c r="E686" s="8"/>
      <c r="F686" s="5"/>
    </row>
    <row r="687" spans="2:6">
      <c r="B687" s="1"/>
      <c r="C687" s="1"/>
      <c r="D687" s="1"/>
      <c r="E687" s="8"/>
      <c r="F687" s="5"/>
    </row>
    <row r="688" spans="2:6">
      <c r="B688" s="1"/>
      <c r="C688" s="1"/>
      <c r="D688" s="1"/>
      <c r="E688" s="8"/>
      <c r="F688" s="5"/>
    </row>
    <row r="689" spans="2:6">
      <c r="B689" s="1"/>
      <c r="C689" s="1"/>
      <c r="D689" s="1"/>
      <c r="E689" s="8"/>
      <c r="F689" s="5"/>
    </row>
    <row r="690" spans="2:6">
      <c r="B690" s="1"/>
      <c r="C690" s="1"/>
      <c r="D690" s="1"/>
      <c r="E690" s="8"/>
      <c r="F690" s="5"/>
    </row>
    <row r="691" spans="2:6">
      <c r="B691" s="1"/>
      <c r="C691" s="1"/>
      <c r="D691" s="1"/>
      <c r="E691" s="8"/>
      <c r="F691" s="5"/>
    </row>
    <row r="692" spans="2:6">
      <c r="B692" s="1"/>
      <c r="C692" s="1"/>
      <c r="D692" s="1"/>
      <c r="E692" s="8"/>
      <c r="F692" s="5"/>
    </row>
    <row r="693" spans="2:6">
      <c r="B693" s="1"/>
      <c r="C693" s="1"/>
      <c r="D693" s="1"/>
      <c r="E693" s="8"/>
      <c r="F693" s="5"/>
    </row>
    <row r="694" spans="2:6">
      <c r="B694" s="1"/>
      <c r="C694" s="1"/>
      <c r="D694" s="1"/>
      <c r="E694" s="8"/>
      <c r="F694" s="5"/>
    </row>
    <row r="695" spans="2:6">
      <c r="B695" s="1"/>
      <c r="C695" s="1"/>
      <c r="D695" s="1"/>
      <c r="E695" s="8"/>
      <c r="F695" s="5"/>
    </row>
    <row r="696" spans="2:6">
      <c r="B696" s="1"/>
      <c r="C696" s="1"/>
      <c r="D696" s="1"/>
      <c r="E696" s="8"/>
      <c r="F696" s="5"/>
    </row>
    <row r="697" spans="2:6">
      <c r="B697" s="1"/>
      <c r="C697" s="1"/>
      <c r="D697" s="1"/>
      <c r="E697" s="8"/>
      <c r="F697" s="5"/>
    </row>
    <row r="698" spans="2:6">
      <c r="B698" s="1"/>
      <c r="C698" s="1"/>
      <c r="D698" s="1"/>
      <c r="E698" s="8"/>
      <c r="F698" s="5"/>
    </row>
    <row r="699" spans="2:6">
      <c r="B699" s="1"/>
      <c r="C699" s="1"/>
      <c r="D699" s="1"/>
      <c r="E699" s="8"/>
      <c r="F699" s="5"/>
    </row>
    <row r="700" spans="2:6">
      <c r="B700" s="1"/>
      <c r="C700" s="1"/>
      <c r="D700" s="1"/>
      <c r="E700" s="8"/>
      <c r="F700" s="5"/>
    </row>
    <row r="701" spans="2:6">
      <c r="B701" s="1"/>
      <c r="C701" s="1"/>
      <c r="D701" s="1"/>
      <c r="E701" s="8"/>
      <c r="F701" s="5"/>
    </row>
    <row r="702" spans="2:6">
      <c r="B702" s="1"/>
      <c r="C702" s="1"/>
      <c r="D702" s="1"/>
      <c r="E702" s="8"/>
      <c r="F702" s="5"/>
    </row>
    <row r="703" spans="2:6">
      <c r="B703" s="1"/>
      <c r="C703" s="1"/>
      <c r="D703" s="1"/>
      <c r="E703" s="8"/>
      <c r="F703" s="5"/>
    </row>
    <row r="704" spans="2:6">
      <c r="B704" s="1"/>
      <c r="C704" s="1"/>
      <c r="D704" s="1"/>
      <c r="E704" s="8"/>
      <c r="F704" s="5"/>
    </row>
    <row r="705" spans="2:6">
      <c r="B705" s="1"/>
      <c r="C705" s="1"/>
      <c r="D705" s="1"/>
      <c r="E705" s="8"/>
      <c r="F705" s="5"/>
    </row>
    <row r="706" spans="2:6">
      <c r="B706" s="1"/>
      <c r="C706" s="1"/>
      <c r="D706" s="1"/>
      <c r="E706" s="8"/>
      <c r="F706" s="5"/>
    </row>
    <row r="707" spans="2:6">
      <c r="B707" s="1"/>
      <c r="C707" s="1"/>
      <c r="D707" s="1"/>
      <c r="E707" s="8"/>
      <c r="F707" s="5"/>
    </row>
    <row r="708" spans="2:6">
      <c r="B708" s="1"/>
      <c r="C708" s="1"/>
      <c r="D708" s="1"/>
      <c r="E708" s="8"/>
      <c r="F708" s="5"/>
    </row>
    <row r="709" spans="2:6">
      <c r="B709" s="1"/>
      <c r="C709" s="1"/>
      <c r="D709" s="1"/>
      <c r="E709" s="8"/>
      <c r="F709" s="5"/>
    </row>
    <row r="710" spans="2:6">
      <c r="B710" s="1"/>
      <c r="C710" s="1"/>
      <c r="D710" s="1"/>
      <c r="E710" s="8"/>
      <c r="F710" s="5"/>
    </row>
    <row r="711" spans="2:6">
      <c r="B711" s="1"/>
      <c r="C711" s="1"/>
      <c r="D711" s="1"/>
      <c r="E711" s="8"/>
      <c r="F711" s="5"/>
    </row>
    <row r="712" spans="2:6">
      <c r="B712" s="1"/>
      <c r="C712" s="1"/>
      <c r="D712" s="1"/>
      <c r="E712" s="8"/>
      <c r="F712" s="5"/>
    </row>
    <row r="713" spans="2:6">
      <c r="B713" s="1"/>
      <c r="C713" s="1"/>
      <c r="D713" s="1"/>
      <c r="E713" s="8"/>
      <c r="F713" s="5"/>
    </row>
    <row r="714" spans="2:6">
      <c r="B714" s="1"/>
      <c r="C714" s="1"/>
      <c r="D714" s="1"/>
      <c r="E714" s="8"/>
      <c r="F714" s="5"/>
    </row>
    <row r="715" spans="2:6">
      <c r="B715" s="1"/>
      <c r="C715" s="1"/>
      <c r="D715" s="1"/>
      <c r="E715" s="8"/>
      <c r="F715" s="5"/>
    </row>
    <row r="716" spans="2:6">
      <c r="B716" s="1"/>
      <c r="C716" s="1"/>
      <c r="D716" s="1"/>
      <c r="E716" s="8"/>
      <c r="F716" s="5"/>
    </row>
    <row r="717" spans="2:6">
      <c r="B717" s="1"/>
      <c r="C717" s="1"/>
      <c r="D717" s="1"/>
      <c r="E717" s="8"/>
      <c r="F717" s="5"/>
    </row>
    <row r="718" spans="2:6">
      <c r="B718" s="1"/>
      <c r="C718" s="1"/>
      <c r="D718" s="1"/>
      <c r="E718" s="8"/>
      <c r="F718" s="5"/>
    </row>
    <row r="719" spans="2:6">
      <c r="B719" s="1"/>
      <c r="C719" s="1"/>
      <c r="D719" s="1"/>
      <c r="E719" s="8"/>
      <c r="F719" s="5"/>
    </row>
    <row r="720" spans="2:6">
      <c r="B720" s="1"/>
      <c r="C720" s="1"/>
      <c r="D720" s="1"/>
      <c r="E720" s="8"/>
      <c r="F720" s="5"/>
    </row>
    <row r="721" spans="2:6">
      <c r="B721" s="1"/>
      <c r="C721" s="1"/>
      <c r="D721" s="1"/>
      <c r="E721" s="8"/>
      <c r="F721" s="5"/>
    </row>
    <row r="722" spans="2:6">
      <c r="B722" s="1"/>
      <c r="C722" s="1"/>
      <c r="D722" s="1"/>
      <c r="E722" s="8"/>
      <c r="F722" s="5"/>
    </row>
    <row r="723" spans="2:6">
      <c r="B723" s="1"/>
      <c r="C723" s="1"/>
      <c r="D723" s="1"/>
      <c r="E723" s="8"/>
      <c r="F723" s="5"/>
    </row>
    <row r="724" spans="2:6">
      <c r="B724" s="1"/>
      <c r="C724" s="1"/>
      <c r="D724" s="1"/>
      <c r="E724" s="8"/>
      <c r="F724" s="5"/>
    </row>
    <row r="725" spans="2:6">
      <c r="B725" s="1"/>
      <c r="C725" s="1"/>
      <c r="D725" s="1"/>
      <c r="E725" s="8"/>
      <c r="F725" s="5"/>
    </row>
    <row r="726" spans="2:6">
      <c r="B726" s="1"/>
      <c r="C726" s="1"/>
      <c r="D726" s="1"/>
      <c r="E726" s="8"/>
      <c r="F726" s="5"/>
    </row>
    <row r="727" spans="2:6">
      <c r="B727" s="1"/>
      <c r="C727" s="1"/>
      <c r="D727" s="1"/>
      <c r="E727" s="8"/>
      <c r="F727" s="5"/>
    </row>
    <row r="728" spans="2:6">
      <c r="B728" s="1"/>
      <c r="C728" s="1"/>
      <c r="D728" s="1"/>
      <c r="E728" s="8"/>
      <c r="F728" s="5"/>
    </row>
    <row r="729" spans="2:6">
      <c r="B729" s="1"/>
      <c r="C729" s="1"/>
      <c r="D729" s="1"/>
      <c r="E729" s="8"/>
      <c r="F729" s="5"/>
    </row>
    <row r="730" spans="2:6">
      <c r="B730" s="1"/>
      <c r="C730" s="1"/>
      <c r="D730" s="1"/>
      <c r="E730" s="8"/>
      <c r="F730" s="5"/>
    </row>
    <row r="731" spans="2:6">
      <c r="B731" s="1"/>
      <c r="C731" s="1"/>
      <c r="D731" s="1"/>
      <c r="E731" s="8"/>
      <c r="F731" s="5"/>
    </row>
    <row r="732" spans="2:6">
      <c r="B732" s="1"/>
      <c r="C732" s="1"/>
      <c r="D732" s="1"/>
      <c r="E732" s="8"/>
      <c r="F732" s="5"/>
    </row>
    <row r="733" spans="2:6">
      <c r="B733" s="1"/>
      <c r="C733" s="1"/>
      <c r="D733" s="1"/>
      <c r="E733" s="8"/>
      <c r="F733" s="5"/>
    </row>
    <row r="734" spans="2:6">
      <c r="B734" s="1"/>
      <c r="C734" s="1"/>
      <c r="D734" s="1"/>
      <c r="E734" s="8"/>
      <c r="F734" s="5"/>
    </row>
    <row r="735" spans="2:6">
      <c r="B735" s="1"/>
      <c r="C735" s="1"/>
      <c r="D735" s="1"/>
      <c r="E735" s="8"/>
      <c r="F735" s="5"/>
    </row>
    <row r="736" spans="2:6">
      <c r="B736" s="1"/>
      <c r="C736" s="1"/>
      <c r="D736" s="1"/>
      <c r="E736" s="8"/>
      <c r="F736" s="5"/>
    </row>
    <row r="737" spans="2:6">
      <c r="B737" s="1"/>
      <c r="C737" s="1"/>
      <c r="D737" s="1"/>
      <c r="E737" s="8"/>
      <c r="F737" s="5"/>
    </row>
    <row r="738" spans="2:6">
      <c r="B738" s="1"/>
      <c r="C738" s="1"/>
      <c r="D738" s="1"/>
      <c r="E738" s="8"/>
      <c r="F738" s="5"/>
    </row>
    <row r="739" spans="2:6">
      <c r="B739" s="1"/>
      <c r="C739" s="1"/>
      <c r="D739" s="1"/>
      <c r="E739" s="8"/>
      <c r="F739" s="5"/>
    </row>
    <row r="740" spans="2:6">
      <c r="B740" s="1"/>
      <c r="C740" s="1"/>
      <c r="D740" s="1"/>
      <c r="E740" s="8"/>
      <c r="F740" s="5"/>
    </row>
    <row r="741" spans="2:6">
      <c r="B741" s="1"/>
      <c r="C741" s="1"/>
      <c r="D741" s="1"/>
      <c r="E741" s="8"/>
      <c r="F741" s="5"/>
    </row>
    <row r="742" spans="2:6">
      <c r="B742" s="1"/>
      <c r="C742" s="1"/>
      <c r="D742" s="1"/>
      <c r="E742" s="8"/>
      <c r="F742" s="5"/>
    </row>
    <row r="743" spans="2:6">
      <c r="B743" s="1"/>
      <c r="C743" s="1"/>
      <c r="D743" s="1"/>
      <c r="E743" s="8"/>
      <c r="F743" s="5"/>
    </row>
    <row r="744" spans="2:6">
      <c r="B744" s="1"/>
      <c r="C744" s="1"/>
      <c r="D744" s="1"/>
      <c r="E744" s="8"/>
      <c r="F744" s="5"/>
    </row>
    <row r="745" spans="2:6">
      <c r="B745" s="1"/>
      <c r="C745" s="1"/>
      <c r="D745" s="1"/>
      <c r="E745" s="8"/>
      <c r="F745" s="5"/>
    </row>
    <row r="746" spans="2:6">
      <c r="B746" s="1"/>
      <c r="C746" s="1"/>
      <c r="D746" s="1"/>
      <c r="E746" s="8"/>
      <c r="F746" s="5"/>
    </row>
    <row r="747" spans="2:6">
      <c r="B747" s="1"/>
      <c r="C747" s="1"/>
      <c r="D747" s="1"/>
      <c r="E747" s="8"/>
      <c r="F747" s="5"/>
    </row>
    <row r="748" spans="2:6">
      <c r="B748" s="1"/>
      <c r="C748" s="1"/>
      <c r="D748" s="1"/>
      <c r="E748" s="8"/>
      <c r="F748" s="5"/>
    </row>
    <row r="749" spans="2:6">
      <c r="B749" s="1"/>
      <c r="C749" s="1"/>
      <c r="D749" s="1"/>
      <c r="E749" s="8"/>
      <c r="F749" s="5"/>
    </row>
    <row r="750" spans="2:6">
      <c r="B750" s="1"/>
      <c r="C750" s="1"/>
      <c r="D750" s="1"/>
      <c r="E750" s="8"/>
      <c r="F750" s="5"/>
    </row>
    <row r="751" spans="2:6">
      <c r="B751" s="1"/>
      <c r="C751" s="1"/>
      <c r="D751" s="1"/>
      <c r="E751" s="8"/>
      <c r="F751" s="5"/>
    </row>
    <row r="752" spans="2:6">
      <c r="B752" s="1"/>
      <c r="C752" s="1"/>
      <c r="D752" s="1"/>
      <c r="E752" s="8"/>
      <c r="F752" s="5"/>
    </row>
    <row r="753" spans="2:6">
      <c r="B753" s="1"/>
      <c r="C753" s="1"/>
      <c r="D753" s="1"/>
      <c r="E753" s="8"/>
      <c r="F753" s="5"/>
    </row>
    <row r="754" spans="2:6">
      <c r="B754" s="1"/>
      <c r="C754" s="1"/>
      <c r="D754" s="1"/>
      <c r="E754" s="8"/>
      <c r="F754" s="5"/>
    </row>
    <row r="755" spans="2:6">
      <c r="B755" s="1"/>
      <c r="C755" s="1"/>
      <c r="D755" s="1"/>
      <c r="E755" s="8"/>
      <c r="F755" s="5"/>
    </row>
    <row r="756" spans="2:6">
      <c r="B756" s="1"/>
      <c r="C756" s="1"/>
      <c r="D756" s="1"/>
      <c r="E756" s="8"/>
      <c r="F756" s="5"/>
    </row>
    <row r="757" spans="2:6">
      <c r="B757" s="1"/>
      <c r="C757" s="1"/>
      <c r="D757" s="1"/>
      <c r="E757" s="8"/>
      <c r="F757" s="5"/>
    </row>
    <row r="758" spans="2:6">
      <c r="B758" s="1"/>
      <c r="C758" s="1"/>
      <c r="D758" s="1"/>
      <c r="E758" s="8"/>
      <c r="F758" s="5"/>
    </row>
    <row r="759" spans="2:6">
      <c r="B759" s="1"/>
      <c r="C759" s="1"/>
      <c r="D759" s="1"/>
      <c r="E759" s="8"/>
      <c r="F759" s="5"/>
    </row>
    <row r="760" spans="2:6">
      <c r="B760" s="1"/>
      <c r="C760" s="1"/>
      <c r="D760" s="1"/>
      <c r="E760" s="8"/>
      <c r="F760" s="5"/>
    </row>
    <row r="761" spans="2:6">
      <c r="B761" s="1"/>
      <c r="C761" s="1"/>
      <c r="D761" s="1"/>
      <c r="E761" s="8"/>
      <c r="F761" s="5"/>
    </row>
    <row r="762" spans="2:6">
      <c r="B762" s="1"/>
      <c r="C762" s="1"/>
      <c r="D762" s="1"/>
      <c r="E762" s="8"/>
      <c r="F762" s="5"/>
    </row>
    <row r="763" spans="2:6">
      <c r="B763" s="1"/>
      <c r="C763" s="1"/>
      <c r="D763" s="1"/>
      <c r="E763" s="8"/>
      <c r="F763" s="5"/>
    </row>
    <row r="764" spans="2:6">
      <c r="B764" s="1"/>
      <c r="C764" s="1"/>
      <c r="D764" s="1"/>
      <c r="E764" s="8"/>
      <c r="F764" s="5"/>
    </row>
    <row r="765" spans="2:6">
      <c r="B765" s="1"/>
      <c r="C765" s="1"/>
      <c r="D765" s="1"/>
      <c r="E765" s="8"/>
      <c r="F765" s="5"/>
    </row>
    <row r="766" spans="2:6">
      <c r="B766" s="1"/>
      <c r="C766" s="1"/>
      <c r="D766" s="1"/>
      <c r="E766" s="8"/>
      <c r="F766" s="5"/>
    </row>
    <row r="767" spans="2:6">
      <c r="B767" s="1"/>
      <c r="C767" s="1"/>
      <c r="D767" s="1"/>
      <c r="E767" s="8"/>
      <c r="F767" s="5"/>
    </row>
    <row r="768" spans="2:6">
      <c r="B768" s="1"/>
      <c r="C768" s="1"/>
      <c r="D768" s="1"/>
      <c r="E768" s="8"/>
      <c r="F768" s="5"/>
    </row>
    <row r="769" spans="2:6">
      <c r="B769" s="1"/>
      <c r="C769" s="1"/>
      <c r="D769" s="1"/>
      <c r="E769" s="8"/>
      <c r="F769" s="5"/>
    </row>
    <row r="770" spans="2:6">
      <c r="B770" s="1"/>
      <c r="C770" s="1"/>
      <c r="D770" s="1"/>
      <c r="E770" s="8"/>
      <c r="F770" s="5"/>
    </row>
    <row r="771" spans="2:6">
      <c r="B771" s="1"/>
      <c r="C771" s="1"/>
      <c r="D771" s="1"/>
      <c r="E771" s="8"/>
      <c r="F771" s="5"/>
    </row>
    <row r="772" spans="2:6">
      <c r="B772" s="1"/>
      <c r="C772" s="1"/>
      <c r="D772" s="1"/>
      <c r="E772" s="8"/>
      <c r="F772" s="5"/>
    </row>
    <row r="773" spans="2:6">
      <c r="B773" s="1"/>
      <c r="C773" s="1"/>
      <c r="D773" s="1"/>
      <c r="E773" s="8"/>
      <c r="F773" s="5"/>
    </row>
    <row r="774" spans="2:6">
      <c r="B774" s="1"/>
      <c r="C774" s="1"/>
      <c r="D774" s="1"/>
      <c r="E774" s="8"/>
      <c r="F774" s="5"/>
    </row>
    <row r="775" spans="2:6">
      <c r="B775" s="1"/>
      <c r="C775" s="1"/>
      <c r="D775" s="1"/>
      <c r="E775" s="8"/>
      <c r="F775" s="5"/>
    </row>
    <row r="776" spans="2:6">
      <c r="B776" s="1"/>
      <c r="C776" s="1"/>
      <c r="D776" s="1"/>
      <c r="E776" s="8"/>
      <c r="F776" s="5"/>
    </row>
    <row r="777" spans="2:6">
      <c r="B777" s="1"/>
      <c r="C777" s="1"/>
      <c r="D777" s="1"/>
      <c r="E777" s="8"/>
      <c r="F777" s="5"/>
    </row>
    <row r="778" spans="2:6">
      <c r="B778" s="1"/>
      <c r="C778" s="1"/>
      <c r="D778" s="1"/>
      <c r="E778" s="8"/>
      <c r="F778" s="5"/>
    </row>
    <row r="779" spans="2:6">
      <c r="B779" s="1"/>
      <c r="C779" s="1"/>
      <c r="D779" s="1"/>
      <c r="E779" s="8"/>
      <c r="F779" s="5"/>
    </row>
    <row r="780" spans="2:6">
      <c r="B780" s="1"/>
      <c r="C780" s="1"/>
      <c r="D780" s="1"/>
      <c r="E780" s="8"/>
      <c r="F780" s="5"/>
    </row>
    <row r="781" spans="2:6">
      <c r="B781" s="1"/>
      <c r="C781" s="1"/>
      <c r="D781" s="1"/>
      <c r="E781" s="8"/>
      <c r="F781" s="5"/>
    </row>
    <row r="782" spans="2:6">
      <c r="B782" s="1"/>
      <c r="C782" s="1"/>
      <c r="D782" s="1"/>
      <c r="E782" s="8"/>
      <c r="F782" s="5"/>
    </row>
    <row r="783" spans="2:6">
      <c r="B783" s="1"/>
      <c r="C783" s="1"/>
      <c r="D783" s="1"/>
      <c r="E783" s="8"/>
      <c r="F783" s="5"/>
    </row>
    <row r="784" spans="2:6">
      <c r="B784" s="1"/>
      <c r="C784" s="1"/>
      <c r="D784" s="1"/>
      <c r="E784" s="8"/>
      <c r="F784" s="5"/>
    </row>
    <row r="785" spans="2:6">
      <c r="B785" s="1"/>
      <c r="C785" s="1"/>
      <c r="D785" s="1"/>
      <c r="E785" s="8"/>
      <c r="F785" s="5"/>
    </row>
    <row r="786" spans="2:6">
      <c r="B786" s="1"/>
      <c r="C786" s="1"/>
      <c r="D786" s="1"/>
      <c r="E786" s="8"/>
      <c r="F786" s="5"/>
    </row>
    <row r="787" spans="2:6">
      <c r="B787" s="1"/>
      <c r="C787" s="1"/>
      <c r="D787" s="1"/>
      <c r="E787" s="8"/>
      <c r="F787" s="5"/>
    </row>
    <row r="788" spans="2:6">
      <c r="B788" s="1"/>
      <c r="C788" s="1"/>
      <c r="D788" s="1"/>
      <c r="E788" s="8"/>
      <c r="F788" s="5"/>
    </row>
    <row r="789" spans="2:6">
      <c r="B789" s="1"/>
      <c r="C789" s="1"/>
      <c r="D789" s="1"/>
      <c r="E789" s="8"/>
      <c r="F789" s="5"/>
    </row>
    <row r="790" spans="2:6">
      <c r="B790" s="1"/>
      <c r="C790" s="1"/>
      <c r="D790" s="1"/>
      <c r="E790" s="8"/>
      <c r="F790" s="5"/>
    </row>
    <row r="791" spans="2:6">
      <c r="B791" s="1"/>
      <c r="C791" s="1"/>
      <c r="D791" s="1"/>
      <c r="E791" s="8"/>
      <c r="F791" s="5"/>
    </row>
    <row r="792" spans="2:6">
      <c r="B792" s="1"/>
      <c r="C792" s="1"/>
      <c r="D792" s="1"/>
      <c r="E792" s="8"/>
      <c r="F792" s="5"/>
    </row>
    <row r="793" spans="2:6">
      <c r="B793" s="1"/>
      <c r="C793" s="1"/>
      <c r="D793" s="1"/>
      <c r="E793" s="8"/>
      <c r="F793" s="5"/>
    </row>
    <row r="794" spans="2:6">
      <c r="B794" s="1"/>
      <c r="C794" s="1"/>
      <c r="D794" s="1"/>
      <c r="E794" s="8"/>
      <c r="F794" s="5"/>
    </row>
    <row r="795" spans="2:6">
      <c r="B795" s="1"/>
      <c r="C795" s="1"/>
      <c r="D795" s="1"/>
      <c r="E795" s="8"/>
      <c r="F795" s="5"/>
    </row>
    <row r="796" spans="2:6">
      <c r="B796" s="1"/>
      <c r="C796" s="1"/>
      <c r="D796" s="1"/>
      <c r="E796" s="8"/>
      <c r="F796" s="5"/>
    </row>
    <row r="797" spans="2:6">
      <c r="B797" s="1"/>
      <c r="C797" s="1"/>
      <c r="D797" s="1"/>
      <c r="E797" s="8"/>
      <c r="F797" s="5"/>
    </row>
    <row r="798" spans="2:6">
      <c r="B798" s="1"/>
      <c r="C798" s="1"/>
      <c r="D798" s="1"/>
      <c r="E798" s="8"/>
      <c r="F798" s="5"/>
    </row>
    <row r="799" spans="2:6">
      <c r="B799" s="1"/>
      <c r="C799" s="1"/>
      <c r="D799" s="1"/>
      <c r="E799" s="8"/>
      <c r="F799" s="5"/>
    </row>
    <row r="800" spans="2:6">
      <c r="B800" s="1"/>
      <c r="C800" s="1"/>
      <c r="D800" s="1"/>
      <c r="E800" s="8"/>
      <c r="F800" s="5"/>
    </row>
    <row r="801" spans="2:6">
      <c r="B801" s="1"/>
      <c r="C801" s="1"/>
      <c r="D801" s="1"/>
      <c r="E801" s="8"/>
      <c r="F801" s="5"/>
    </row>
    <row r="802" spans="2:6">
      <c r="B802" s="1"/>
      <c r="C802" s="1"/>
      <c r="D802" s="1"/>
      <c r="E802" s="8"/>
      <c r="F802" s="5"/>
    </row>
    <row r="803" spans="2:6">
      <c r="B803" s="1"/>
      <c r="C803" s="1"/>
      <c r="D803" s="1"/>
      <c r="E803" s="8"/>
      <c r="F803" s="5"/>
    </row>
    <row r="804" spans="2:6">
      <c r="B804" s="1"/>
      <c r="C804" s="1"/>
      <c r="D804" s="1"/>
      <c r="E804" s="8"/>
      <c r="F804" s="5"/>
    </row>
    <row r="805" spans="2:6">
      <c r="B805" s="1"/>
      <c r="C805" s="1"/>
      <c r="D805" s="1"/>
      <c r="E805" s="8"/>
      <c r="F805" s="5"/>
    </row>
    <row r="806" spans="2:6">
      <c r="B806" s="1"/>
      <c r="C806" s="1"/>
      <c r="D806" s="1"/>
      <c r="E806" s="8"/>
      <c r="F806" s="5"/>
    </row>
    <row r="807" spans="2:6">
      <c r="B807" s="1"/>
      <c r="C807" s="1"/>
      <c r="D807" s="1"/>
      <c r="E807" s="8"/>
      <c r="F807" s="5"/>
    </row>
    <row r="808" spans="2:6">
      <c r="B808" s="1"/>
      <c r="C808" s="1"/>
      <c r="D808" s="1"/>
      <c r="E808" s="8"/>
      <c r="F808" s="5"/>
    </row>
    <row r="809" spans="2:6">
      <c r="B809" s="1"/>
      <c r="C809" s="1"/>
      <c r="D809" s="1"/>
      <c r="E809" s="8"/>
      <c r="F809" s="5"/>
    </row>
    <row r="810" spans="2:6">
      <c r="B810" s="1"/>
      <c r="C810" s="1"/>
      <c r="D810" s="1"/>
      <c r="E810" s="8"/>
      <c r="F810" s="5"/>
    </row>
    <row r="811" spans="2:6">
      <c r="B811" s="1"/>
      <c r="C811" s="1"/>
      <c r="D811" s="1"/>
      <c r="E811" s="8"/>
      <c r="F811" s="5"/>
    </row>
    <row r="812" spans="2:6">
      <c r="B812" s="1"/>
      <c r="C812" s="1"/>
      <c r="D812" s="1"/>
      <c r="E812" s="8"/>
      <c r="F812" s="5"/>
    </row>
    <row r="813" spans="2:6">
      <c r="B813" s="1"/>
      <c r="C813" s="1"/>
      <c r="D813" s="1"/>
      <c r="E813" s="8"/>
      <c r="F813" s="5"/>
    </row>
    <row r="814" spans="2:6">
      <c r="B814" s="1"/>
      <c r="C814" s="1"/>
      <c r="D814" s="1"/>
      <c r="E814" s="8"/>
      <c r="F814" s="5"/>
    </row>
    <row r="815" spans="2:6">
      <c r="B815" s="1"/>
      <c r="C815" s="1"/>
      <c r="D815" s="1"/>
      <c r="E815" s="8"/>
      <c r="F815" s="5"/>
    </row>
    <row r="816" spans="2:6">
      <c r="B816" s="1"/>
      <c r="C816" s="1"/>
      <c r="D816" s="1"/>
      <c r="E816" s="8"/>
      <c r="F816" s="5"/>
    </row>
    <row r="817" spans="2:6">
      <c r="B817" s="1"/>
      <c r="C817" s="1"/>
      <c r="D817" s="1"/>
      <c r="E817" s="8"/>
      <c r="F817" s="5"/>
    </row>
    <row r="818" spans="2:6">
      <c r="B818" s="1"/>
      <c r="C818" s="1"/>
      <c r="D818" s="1"/>
      <c r="E818" s="8"/>
      <c r="F818" s="5"/>
    </row>
    <row r="819" spans="2:6">
      <c r="B819" s="1"/>
      <c r="C819" s="1"/>
      <c r="D819" s="1"/>
      <c r="E819" s="8"/>
      <c r="F819" s="5"/>
    </row>
    <row r="820" spans="2:6">
      <c r="B820" s="1"/>
      <c r="C820" s="1"/>
      <c r="D820" s="1"/>
      <c r="E820" s="8"/>
      <c r="F820" s="5"/>
    </row>
    <row r="821" spans="2:6">
      <c r="B821" s="1"/>
      <c r="C821" s="1"/>
      <c r="D821" s="1"/>
      <c r="E821" s="8"/>
      <c r="F821" s="5"/>
    </row>
    <row r="822" spans="2:6">
      <c r="B822" s="1"/>
      <c r="C822" s="1"/>
      <c r="D822" s="1"/>
      <c r="E822" s="8"/>
      <c r="F822" s="5"/>
    </row>
    <row r="823" spans="2:6">
      <c r="B823" s="1"/>
      <c r="C823" s="1"/>
      <c r="D823" s="1"/>
      <c r="E823" s="8"/>
      <c r="F823" s="5"/>
    </row>
    <row r="824" spans="2:6">
      <c r="B824" s="1"/>
      <c r="C824" s="1"/>
      <c r="D824" s="1"/>
      <c r="E824" s="8"/>
      <c r="F824" s="5"/>
    </row>
    <row r="825" spans="2:6">
      <c r="B825" s="1"/>
      <c r="C825" s="1"/>
      <c r="D825" s="1"/>
      <c r="E825" s="8"/>
      <c r="F825" s="5"/>
    </row>
    <row r="826" spans="2:6">
      <c r="B826" s="1"/>
      <c r="C826" s="1"/>
      <c r="D826" s="1"/>
      <c r="E826" s="8"/>
      <c r="F826" s="5"/>
    </row>
    <row r="827" spans="2:6">
      <c r="B827" s="1"/>
      <c r="C827" s="1"/>
      <c r="D827" s="1"/>
      <c r="E827" s="8"/>
      <c r="F827" s="5"/>
    </row>
    <row r="828" spans="2:6">
      <c r="B828" s="1"/>
      <c r="C828" s="1"/>
      <c r="D828" s="1"/>
      <c r="E828" s="8"/>
      <c r="F828" s="5"/>
    </row>
    <row r="829" spans="2:6">
      <c r="B829" s="1"/>
      <c r="C829" s="1"/>
      <c r="D829" s="1"/>
      <c r="E829" s="8"/>
      <c r="F829" s="5"/>
    </row>
    <row r="830" spans="2:6">
      <c r="B830" s="1"/>
      <c r="C830" s="1"/>
      <c r="D830" s="1"/>
      <c r="E830" s="8"/>
      <c r="F830" s="5"/>
    </row>
    <row r="831" spans="2:6">
      <c r="B831" s="1"/>
      <c r="C831" s="1"/>
      <c r="D831" s="1"/>
      <c r="E831" s="8"/>
      <c r="F831" s="5"/>
    </row>
    <row r="832" spans="2:6">
      <c r="B832" s="1"/>
      <c r="C832" s="1"/>
      <c r="D832" s="1"/>
      <c r="E832" s="8"/>
      <c r="F832" s="5"/>
    </row>
    <row r="833" spans="2:6">
      <c r="B833" s="1"/>
      <c r="C833" s="1"/>
      <c r="D833" s="1"/>
      <c r="E833" s="8"/>
      <c r="F833" s="5"/>
    </row>
    <row r="834" spans="2:6">
      <c r="B834" s="1"/>
      <c r="C834" s="1"/>
      <c r="D834" s="1"/>
      <c r="E834" s="8"/>
      <c r="F834" s="5"/>
    </row>
    <row r="835" spans="2:6">
      <c r="B835" s="1"/>
      <c r="C835" s="1"/>
      <c r="D835" s="1"/>
      <c r="E835" s="8"/>
      <c r="F835" s="5"/>
    </row>
    <row r="836" spans="2:6">
      <c r="B836" s="1"/>
      <c r="C836" s="1"/>
      <c r="D836" s="1"/>
      <c r="E836" s="8"/>
      <c r="F836" s="5"/>
    </row>
    <row r="837" spans="2:6">
      <c r="B837" s="1"/>
      <c r="C837" s="1"/>
      <c r="D837" s="1"/>
      <c r="E837" s="8"/>
      <c r="F837" s="5"/>
    </row>
    <row r="838" spans="2:6">
      <c r="B838" s="1"/>
      <c r="C838" s="1"/>
      <c r="D838" s="1"/>
      <c r="E838" s="8"/>
      <c r="F838" s="5"/>
    </row>
    <row r="839" spans="2:6">
      <c r="B839" s="1"/>
      <c r="C839" s="1"/>
      <c r="D839" s="1"/>
      <c r="E839" s="8"/>
      <c r="F839" s="5"/>
    </row>
    <row r="840" spans="2:6">
      <c r="B840" s="1"/>
      <c r="C840" s="1"/>
      <c r="D840" s="1"/>
      <c r="E840" s="8"/>
      <c r="F840" s="5"/>
    </row>
    <row r="841" spans="2:6">
      <c r="B841" s="1"/>
      <c r="C841" s="1"/>
      <c r="D841" s="1"/>
      <c r="E841" s="8"/>
      <c r="F841" s="5"/>
    </row>
    <row r="842" spans="2:6">
      <c r="B842" s="1"/>
      <c r="C842" s="1"/>
      <c r="D842" s="1"/>
      <c r="E842" s="8"/>
      <c r="F842" s="5"/>
    </row>
    <row r="843" spans="2:6">
      <c r="B843" s="1"/>
      <c r="C843" s="1"/>
      <c r="D843" s="1"/>
      <c r="E843" s="8"/>
      <c r="F843" s="5"/>
    </row>
    <row r="844" spans="2:6">
      <c r="B844" s="1"/>
      <c r="C844" s="1"/>
      <c r="D844" s="1"/>
      <c r="E844" s="8"/>
      <c r="F844" s="5"/>
    </row>
    <row r="845" spans="2:6">
      <c r="B845" s="1"/>
      <c r="C845" s="1"/>
      <c r="D845" s="1"/>
      <c r="E845" s="8"/>
      <c r="F845" s="5"/>
    </row>
    <row r="846" spans="2:6">
      <c r="B846" s="1"/>
      <c r="C846" s="1"/>
      <c r="D846" s="1"/>
      <c r="E846" s="8"/>
      <c r="F846" s="5"/>
    </row>
    <row r="847" spans="2:6">
      <c r="B847" s="1"/>
      <c r="C847" s="1"/>
      <c r="D847" s="1"/>
      <c r="E847" s="8"/>
      <c r="F847" s="5"/>
    </row>
    <row r="848" spans="2:6">
      <c r="B848" s="1"/>
      <c r="C848" s="1"/>
      <c r="D848" s="1"/>
      <c r="E848" s="8"/>
      <c r="F848" s="5"/>
    </row>
    <row r="849" spans="2:6">
      <c r="B849" s="1"/>
      <c r="C849" s="1"/>
      <c r="D849" s="1"/>
      <c r="E849" s="8"/>
      <c r="F849" s="5"/>
    </row>
    <row r="850" spans="2:6">
      <c r="B850" s="1"/>
      <c r="C850" s="1"/>
      <c r="D850" s="1"/>
      <c r="E850" s="8"/>
      <c r="F850" s="5"/>
    </row>
    <row r="851" spans="2:6">
      <c r="B851" s="1"/>
      <c r="C851" s="1"/>
      <c r="D851" s="1"/>
      <c r="E851" s="8"/>
      <c r="F851" s="5"/>
    </row>
    <row r="852" spans="2:6">
      <c r="B852" s="1"/>
      <c r="C852" s="1"/>
      <c r="D852" s="1"/>
      <c r="E852" s="8"/>
      <c r="F852" s="5"/>
    </row>
    <row r="853" spans="2:6">
      <c r="B853" s="1"/>
      <c r="C853" s="1"/>
      <c r="D853" s="1"/>
      <c r="E853" s="8"/>
      <c r="F853" s="5"/>
    </row>
    <row r="854" spans="2:6">
      <c r="B854" s="1"/>
      <c r="C854" s="1"/>
      <c r="D854" s="1"/>
      <c r="E854" s="8"/>
      <c r="F854" s="5"/>
    </row>
    <row r="855" spans="2:6">
      <c r="B855" s="1"/>
      <c r="C855" s="1"/>
      <c r="D855" s="1"/>
      <c r="E855" s="8"/>
      <c r="F855" s="5"/>
    </row>
    <row r="856" spans="2:6">
      <c r="B856" s="1"/>
      <c r="C856" s="1"/>
      <c r="D856" s="1"/>
      <c r="E856" s="8"/>
      <c r="F856" s="5"/>
    </row>
    <row r="857" spans="2:6">
      <c r="B857" s="1"/>
      <c r="C857" s="1"/>
      <c r="D857" s="1"/>
      <c r="E857" s="8"/>
      <c r="F857" s="5"/>
    </row>
    <row r="858" spans="2:6">
      <c r="B858" s="1"/>
      <c r="C858" s="1"/>
      <c r="D858" s="1"/>
      <c r="E858" s="8"/>
      <c r="F858" s="5"/>
    </row>
    <row r="859" spans="2:6">
      <c r="B859" s="1"/>
      <c r="C859" s="1"/>
      <c r="D859" s="1"/>
      <c r="E859" s="8"/>
      <c r="F859" s="5"/>
    </row>
    <row r="860" spans="2:6">
      <c r="B860" s="1"/>
      <c r="C860" s="1"/>
      <c r="D860" s="1"/>
      <c r="E860" s="8"/>
      <c r="F860" s="5"/>
    </row>
    <row r="861" spans="2:6">
      <c r="B861" s="1"/>
      <c r="C861" s="1"/>
      <c r="D861" s="1"/>
      <c r="E861" s="8"/>
      <c r="F861" s="5"/>
    </row>
    <row r="862" spans="2:6">
      <c r="B862" s="1"/>
      <c r="C862" s="1"/>
      <c r="D862" s="1"/>
      <c r="E862" s="8"/>
      <c r="F862" s="5"/>
    </row>
    <row r="863" spans="2:6">
      <c r="B863" s="1"/>
      <c r="C863" s="1"/>
      <c r="D863" s="1"/>
      <c r="E863" s="8"/>
      <c r="F863" s="5"/>
    </row>
    <row r="864" spans="2:6">
      <c r="B864" s="1"/>
      <c r="C864" s="1"/>
      <c r="D864" s="1"/>
      <c r="E864" s="8"/>
      <c r="F864" s="5"/>
    </row>
    <row r="865" spans="2:6">
      <c r="B865" s="1"/>
      <c r="C865" s="1"/>
      <c r="D865" s="1"/>
      <c r="E865" s="8"/>
      <c r="F865" s="5"/>
    </row>
    <row r="866" spans="2:6">
      <c r="B866" s="1"/>
      <c r="C866" s="1"/>
      <c r="D866" s="1"/>
      <c r="E866" s="8"/>
      <c r="F866" s="5"/>
    </row>
    <row r="867" spans="2:6">
      <c r="B867" s="1"/>
      <c r="C867" s="1"/>
      <c r="D867" s="1"/>
      <c r="E867" s="8"/>
      <c r="F867" s="5"/>
    </row>
    <row r="868" spans="2:6">
      <c r="B868" s="1"/>
      <c r="C868" s="1"/>
      <c r="D868" s="1"/>
      <c r="E868" s="8"/>
      <c r="F868" s="5"/>
    </row>
    <row r="869" spans="2:6">
      <c r="B869" s="1"/>
      <c r="C869" s="1"/>
      <c r="D869" s="1"/>
      <c r="E869" s="8"/>
      <c r="F869" s="5"/>
    </row>
    <row r="870" spans="2:6">
      <c r="B870" s="1"/>
      <c r="C870" s="1"/>
      <c r="D870" s="1"/>
      <c r="E870" s="8"/>
      <c r="F870" s="5"/>
    </row>
    <row r="871" spans="2:6">
      <c r="B871" s="1"/>
      <c r="C871" s="1"/>
      <c r="D871" s="1"/>
      <c r="E871" s="8"/>
      <c r="F871" s="5"/>
    </row>
    <row r="872" spans="2:6">
      <c r="B872" s="1"/>
      <c r="C872" s="1"/>
      <c r="D872" s="1"/>
      <c r="E872" s="8"/>
      <c r="F872" s="5"/>
    </row>
    <row r="873" spans="2:6">
      <c r="B873" s="1"/>
      <c r="C873" s="1"/>
      <c r="D873" s="1"/>
      <c r="E873" s="8"/>
      <c r="F873" s="5"/>
    </row>
    <row r="874" spans="2:6">
      <c r="B874" s="1"/>
      <c r="C874" s="1"/>
      <c r="D874" s="1"/>
      <c r="E874" s="8"/>
      <c r="F874" s="5"/>
    </row>
    <row r="875" spans="2:6">
      <c r="B875" s="1"/>
      <c r="C875" s="1"/>
      <c r="D875" s="1"/>
      <c r="E875" s="8"/>
      <c r="F875" s="5"/>
    </row>
    <row r="876" spans="2:6">
      <c r="B876" s="1"/>
      <c r="C876" s="1"/>
      <c r="D876" s="1"/>
      <c r="E876" s="8"/>
      <c r="F876" s="5"/>
    </row>
    <row r="877" spans="2:6">
      <c r="B877" s="1"/>
      <c r="C877" s="1"/>
      <c r="D877" s="1"/>
      <c r="E877" s="8"/>
      <c r="F877" s="5"/>
    </row>
    <row r="878" spans="2:6">
      <c r="B878" s="1"/>
      <c r="C878" s="1"/>
      <c r="D878" s="1"/>
      <c r="E878" s="8"/>
      <c r="F878" s="5"/>
    </row>
    <row r="879" spans="2:6">
      <c r="B879" s="1"/>
      <c r="C879" s="1"/>
      <c r="D879" s="1"/>
      <c r="E879" s="8"/>
      <c r="F879" s="5"/>
    </row>
    <row r="880" spans="2:6">
      <c r="B880" s="1"/>
      <c r="C880" s="1"/>
      <c r="D880" s="1"/>
      <c r="E880" s="8"/>
      <c r="F880" s="5"/>
    </row>
    <row r="881" spans="2:6">
      <c r="B881" s="1"/>
      <c r="C881" s="1"/>
      <c r="D881" s="1"/>
      <c r="E881" s="8"/>
      <c r="F881" s="5"/>
    </row>
    <row r="882" spans="2:6">
      <c r="B882" s="1"/>
      <c r="C882" s="1"/>
      <c r="D882" s="1"/>
      <c r="E882" s="8"/>
      <c r="F882" s="5"/>
    </row>
    <row r="883" spans="2:6">
      <c r="B883" s="1"/>
      <c r="C883" s="1"/>
      <c r="D883" s="1"/>
      <c r="E883" s="8"/>
      <c r="F883" s="5"/>
    </row>
    <row r="884" spans="2:6">
      <c r="B884" s="1"/>
      <c r="C884" s="1"/>
      <c r="D884" s="1"/>
      <c r="E884" s="8"/>
      <c r="F884" s="5"/>
    </row>
    <row r="885" spans="2:6">
      <c r="B885" s="1"/>
      <c r="C885" s="1"/>
      <c r="D885" s="1"/>
      <c r="E885" s="8"/>
      <c r="F885" s="5"/>
    </row>
    <row r="886" spans="2:6">
      <c r="B886" s="1"/>
      <c r="C886" s="1"/>
      <c r="D886" s="1"/>
      <c r="E886" s="8"/>
      <c r="F886" s="5"/>
    </row>
    <row r="887" spans="2:6">
      <c r="B887" s="1"/>
      <c r="C887" s="1"/>
      <c r="D887" s="1"/>
      <c r="E887" s="8"/>
      <c r="F887" s="5"/>
    </row>
    <row r="888" spans="2:6">
      <c r="B888" s="1"/>
      <c r="C888" s="1"/>
      <c r="D888" s="1"/>
      <c r="E888" s="8"/>
      <c r="F888" s="5"/>
    </row>
    <row r="889" spans="2:6">
      <c r="B889" s="1"/>
      <c r="C889" s="1"/>
      <c r="D889" s="1"/>
      <c r="E889" s="8"/>
      <c r="F889" s="5"/>
    </row>
    <row r="890" spans="2:6">
      <c r="B890" s="1"/>
      <c r="C890" s="1"/>
      <c r="D890" s="1"/>
      <c r="E890" s="8"/>
      <c r="F890" s="5"/>
    </row>
    <row r="891" spans="2:6">
      <c r="B891" s="1"/>
      <c r="C891" s="1"/>
      <c r="D891" s="1"/>
      <c r="E891" s="8"/>
      <c r="F891" s="5"/>
    </row>
    <row r="892" spans="2:6">
      <c r="B892" s="1"/>
      <c r="C892" s="1"/>
      <c r="D892" s="1"/>
      <c r="E892" s="8"/>
      <c r="F892" s="5"/>
    </row>
    <row r="893" spans="2:6">
      <c r="B893" s="1"/>
      <c r="C893" s="1"/>
      <c r="D893" s="1"/>
      <c r="E893" s="8"/>
      <c r="F893" s="5"/>
    </row>
    <row r="894" spans="2:6">
      <c r="B894" s="1"/>
      <c r="C894" s="1"/>
      <c r="D894" s="1"/>
      <c r="E894" s="8"/>
      <c r="F894" s="5"/>
    </row>
    <row r="895" spans="2:6">
      <c r="B895" s="1"/>
      <c r="C895" s="1"/>
      <c r="D895" s="1"/>
      <c r="E895" s="8"/>
      <c r="F895" s="5"/>
    </row>
    <row r="896" spans="2:6">
      <c r="B896" s="1"/>
      <c r="C896" s="1"/>
      <c r="D896" s="1"/>
      <c r="E896" s="8"/>
      <c r="F896" s="5"/>
    </row>
    <row r="897" spans="2:6">
      <c r="B897" s="1"/>
      <c r="C897" s="1"/>
      <c r="D897" s="1"/>
      <c r="E897" s="8"/>
      <c r="F897" s="5"/>
    </row>
    <row r="898" spans="2:6">
      <c r="B898" s="1"/>
      <c r="C898" s="1"/>
      <c r="D898" s="1"/>
      <c r="E898" s="8"/>
      <c r="F898" s="5"/>
    </row>
    <row r="899" spans="2:6">
      <c r="B899" s="1"/>
      <c r="C899" s="1"/>
      <c r="D899" s="1"/>
      <c r="E899" s="8"/>
      <c r="F899" s="5"/>
    </row>
    <row r="900" spans="2:6">
      <c r="B900" s="1"/>
      <c r="C900" s="1"/>
      <c r="D900" s="1"/>
      <c r="E900" s="8"/>
      <c r="F900" s="5"/>
    </row>
    <row r="901" spans="2:6">
      <c r="B901" s="1"/>
      <c r="C901" s="1"/>
      <c r="D901" s="1"/>
      <c r="E901" s="8"/>
      <c r="F901" s="5"/>
    </row>
    <row r="902" spans="2:6">
      <c r="B902" s="1"/>
      <c r="C902" s="1"/>
      <c r="D902" s="1"/>
      <c r="E902" s="8"/>
      <c r="F902" s="5"/>
    </row>
    <row r="903" spans="2:6">
      <c r="B903" s="1"/>
      <c r="C903" s="1"/>
      <c r="D903" s="1"/>
      <c r="E903" s="8"/>
      <c r="F903" s="5"/>
    </row>
    <row r="904" spans="2:6">
      <c r="B904" s="1"/>
      <c r="C904" s="1"/>
      <c r="D904" s="1"/>
      <c r="E904" s="8"/>
      <c r="F904" s="5"/>
    </row>
    <row r="905" spans="2:6">
      <c r="B905" s="1"/>
      <c r="C905" s="1"/>
      <c r="D905" s="1"/>
      <c r="E905" s="8"/>
      <c r="F905" s="5"/>
    </row>
    <row r="906" spans="2:6">
      <c r="B906" s="1"/>
      <c r="C906" s="1"/>
      <c r="D906" s="1"/>
      <c r="E906" s="8"/>
      <c r="F906" s="5"/>
    </row>
    <row r="907" spans="2:6">
      <c r="B907" s="1"/>
      <c r="C907" s="1"/>
      <c r="D907" s="1"/>
      <c r="E907" s="8"/>
      <c r="F907" s="5"/>
    </row>
    <row r="908" spans="2:6">
      <c r="B908" s="1"/>
      <c r="C908" s="1"/>
      <c r="D908" s="1"/>
      <c r="E908" s="8"/>
      <c r="F908" s="5"/>
    </row>
    <row r="909" spans="2:6">
      <c r="B909" s="1"/>
      <c r="C909" s="1"/>
      <c r="D909" s="1"/>
      <c r="E909" s="8"/>
      <c r="F909" s="5"/>
    </row>
    <row r="910" spans="2:6">
      <c r="B910" s="1"/>
      <c r="C910" s="1"/>
      <c r="D910" s="1"/>
      <c r="E910" s="8"/>
      <c r="F910" s="5"/>
    </row>
    <row r="911" spans="2:6">
      <c r="B911" s="1"/>
      <c r="C911" s="1"/>
      <c r="D911" s="1"/>
      <c r="E911" s="8"/>
      <c r="F911" s="5"/>
    </row>
    <row r="912" spans="2:6">
      <c r="B912" s="1"/>
      <c r="C912" s="1"/>
      <c r="D912" s="1"/>
      <c r="E912" s="8"/>
      <c r="F912" s="5"/>
    </row>
    <row r="913" spans="2:6">
      <c r="B913" s="1"/>
      <c r="C913" s="1"/>
      <c r="D913" s="1"/>
      <c r="E913" s="8"/>
      <c r="F913" s="5"/>
    </row>
    <row r="914" spans="2:6">
      <c r="B914" s="1"/>
      <c r="C914" s="1"/>
      <c r="D914" s="1"/>
      <c r="E914" s="8"/>
      <c r="F914" s="5"/>
    </row>
    <row r="915" spans="2:6">
      <c r="B915" s="1"/>
      <c r="C915" s="1"/>
      <c r="D915" s="1"/>
      <c r="E915" s="8"/>
      <c r="F915" s="5"/>
    </row>
    <row r="916" spans="2:6">
      <c r="B916" s="1"/>
      <c r="C916" s="1"/>
      <c r="D916" s="1"/>
      <c r="E916" s="8"/>
      <c r="F916" s="5"/>
    </row>
    <row r="917" spans="2:6">
      <c r="B917" s="1"/>
      <c r="C917" s="1"/>
      <c r="D917" s="1"/>
      <c r="E917" s="8"/>
      <c r="F917" s="5"/>
    </row>
    <row r="918" spans="2:6">
      <c r="B918" s="1"/>
      <c r="C918" s="1"/>
      <c r="D918" s="1"/>
      <c r="E918" s="8"/>
      <c r="F918" s="5"/>
    </row>
    <row r="919" spans="2:6">
      <c r="B919" s="1"/>
      <c r="C919" s="1"/>
      <c r="D919" s="1"/>
      <c r="E919" s="8"/>
      <c r="F919" s="5"/>
    </row>
    <row r="920" spans="2:6">
      <c r="B920" s="1"/>
      <c r="C920" s="1"/>
      <c r="D920" s="1"/>
      <c r="E920" s="8"/>
      <c r="F920" s="5"/>
    </row>
    <row r="921" spans="2:6">
      <c r="B921" s="1"/>
      <c r="C921" s="1"/>
      <c r="D921" s="1"/>
      <c r="E921" s="8"/>
      <c r="F921" s="5"/>
    </row>
    <row r="922" spans="2:6">
      <c r="B922" s="1"/>
      <c r="C922" s="1"/>
      <c r="D922" s="1"/>
      <c r="E922" s="8"/>
      <c r="F922" s="5"/>
    </row>
    <row r="923" spans="2:6">
      <c r="B923" s="1"/>
      <c r="C923" s="1"/>
      <c r="D923" s="1"/>
      <c r="E923" s="8"/>
      <c r="F923" s="5"/>
    </row>
    <row r="924" spans="2:6">
      <c r="B924" s="1"/>
      <c r="C924" s="1"/>
      <c r="D924" s="1"/>
      <c r="E924" s="8"/>
      <c r="F924" s="5"/>
    </row>
    <row r="925" spans="2:6">
      <c r="B925" s="1"/>
      <c r="C925" s="1"/>
      <c r="D925" s="1"/>
      <c r="E925" s="8"/>
      <c r="F925" s="5"/>
    </row>
    <row r="926" spans="2:6">
      <c r="B926" s="1"/>
      <c r="C926" s="1"/>
      <c r="D926" s="1"/>
      <c r="E926" s="8"/>
      <c r="F926" s="5"/>
    </row>
    <row r="927" spans="2:6">
      <c r="B927" s="1"/>
      <c r="C927" s="1"/>
      <c r="D927" s="1"/>
      <c r="E927" s="8"/>
      <c r="F927" s="5"/>
    </row>
    <row r="928" spans="2:6">
      <c r="B928" s="1"/>
      <c r="C928" s="1"/>
      <c r="D928" s="1"/>
      <c r="E928" s="8"/>
      <c r="F928" s="5"/>
    </row>
    <row r="929" spans="2:6">
      <c r="B929" s="1"/>
      <c r="C929" s="1"/>
      <c r="D929" s="1"/>
      <c r="E929" s="8"/>
      <c r="F929" s="5"/>
    </row>
    <row r="930" spans="2:6">
      <c r="B930" s="1"/>
      <c r="C930" s="1"/>
      <c r="D930" s="1"/>
      <c r="E930" s="8"/>
      <c r="F930" s="5"/>
    </row>
    <row r="931" spans="2:6">
      <c r="B931" s="1"/>
      <c r="C931" s="1"/>
      <c r="D931" s="1"/>
      <c r="E931" s="8"/>
      <c r="F931" s="5"/>
    </row>
    <row r="932" spans="2:6">
      <c r="B932" s="1"/>
      <c r="C932" s="1"/>
      <c r="D932" s="1"/>
      <c r="E932" s="8"/>
      <c r="F932" s="5"/>
    </row>
    <row r="933" spans="2:6">
      <c r="B933" s="1"/>
      <c r="C933" s="1"/>
      <c r="D933" s="1"/>
      <c r="E933" s="8"/>
      <c r="F933" s="5"/>
    </row>
    <row r="934" spans="2:6">
      <c r="B934" s="1"/>
      <c r="C934" s="1"/>
      <c r="D934" s="1"/>
      <c r="E934" s="8"/>
      <c r="F934" s="5"/>
    </row>
    <row r="935" spans="2:6">
      <c r="B935" s="1"/>
      <c r="C935" s="1"/>
      <c r="D935" s="1"/>
      <c r="E935" s="8"/>
      <c r="F935" s="5"/>
    </row>
    <row r="936" spans="2:6">
      <c r="B936" s="1"/>
      <c r="C936" s="1"/>
      <c r="D936" s="1"/>
      <c r="E936" s="8"/>
      <c r="F936" s="5"/>
    </row>
    <row r="937" spans="2:6">
      <c r="B937" s="1"/>
      <c r="C937" s="1"/>
      <c r="D937" s="1"/>
      <c r="E937" s="8"/>
      <c r="F937" s="5"/>
    </row>
    <row r="938" spans="2:6">
      <c r="B938" s="1"/>
      <c r="C938" s="1"/>
      <c r="D938" s="1"/>
      <c r="E938" s="8"/>
      <c r="F938" s="5"/>
    </row>
    <row r="939" spans="2:6">
      <c r="B939" s="1"/>
      <c r="C939" s="1"/>
      <c r="D939" s="1"/>
      <c r="E939" s="8"/>
      <c r="F939" s="5"/>
    </row>
    <row r="940" spans="2:6">
      <c r="B940" s="1"/>
      <c r="C940" s="1"/>
      <c r="D940" s="1"/>
      <c r="E940" s="8"/>
      <c r="F940" s="5"/>
    </row>
    <row r="941" spans="2:6">
      <c r="B941" s="1"/>
      <c r="C941" s="1"/>
      <c r="D941" s="1"/>
      <c r="E941" s="8"/>
      <c r="F941" s="5"/>
    </row>
    <row r="942" spans="2:6">
      <c r="B942" s="1"/>
      <c r="C942" s="1"/>
      <c r="D942" s="1"/>
      <c r="E942" s="8"/>
      <c r="F942" s="5"/>
    </row>
    <row r="943" spans="2:6">
      <c r="B943" s="1"/>
      <c r="C943" s="1"/>
      <c r="D943" s="1"/>
      <c r="E943" s="8"/>
      <c r="F943" s="5"/>
    </row>
    <row r="944" spans="2:6">
      <c r="B944" s="1"/>
      <c r="C944" s="1"/>
      <c r="D944" s="1"/>
      <c r="E944" s="8"/>
      <c r="F944" s="5"/>
    </row>
    <row r="945" spans="2:6">
      <c r="B945" s="1"/>
      <c r="C945" s="1"/>
      <c r="D945" s="1"/>
      <c r="E945" s="8"/>
      <c r="F945" s="5"/>
    </row>
    <row r="946" spans="2:6">
      <c r="B946" s="1"/>
      <c r="C946" s="1"/>
      <c r="D946" s="1"/>
      <c r="E946" s="8"/>
      <c r="F946" s="5"/>
    </row>
    <row r="947" spans="2:6">
      <c r="B947" s="1"/>
      <c r="C947" s="1"/>
      <c r="D947" s="1"/>
      <c r="E947" s="8"/>
      <c r="F947" s="5"/>
    </row>
    <row r="948" spans="2:6">
      <c r="B948" s="1"/>
      <c r="C948" s="1"/>
      <c r="D948" s="1"/>
      <c r="E948" s="8"/>
      <c r="F948" s="5"/>
    </row>
    <row r="949" spans="2:6">
      <c r="B949" s="1"/>
      <c r="C949" s="1"/>
      <c r="D949" s="1"/>
      <c r="E949" s="8"/>
      <c r="F949" s="5"/>
    </row>
    <row r="950" spans="2:6">
      <c r="B950" s="1"/>
      <c r="C950" s="1"/>
      <c r="D950" s="1"/>
      <c r="E950" s="8"/>
      <c r="F950" s="5"/>
    </row>
    <row r="951" spans="2:6">
      <c r="B951" s="1"/>
      <c r="C951" s="1"/>
      <c r="D951" s="1"/>
      <c r="E951" s="8"/>
      <c r="F951" s="5"/>
    </row>
    <row r="952" spans="2:6">
      <c r="B952" s="1"/>
      <c r="C952" s="1"/>
      <c r="D952" s="1"/>
      <c r="E952" s="8"/>
      <c r="F952" s="5"/>
    </row>
    <row r="953" spans="2:6">
      <c r="B953" s="1"/>
      <c r="C953" s="1"/>
      <c r="D953" s="1"/>
      <c r="E953" s="8"/>
      <c r="F953" s="5"/>
    </row>
    <row r="954" spans="2:6">
      <c r="B954" s="1"/>
      <c r="C954" s="1"/>
      <c r="D954" s="1"/>
      <c r="E954" s="8"/>
      <c r="F954" s="5"/>
    </row>
    <row r="955" spans="2:6">
      <c r="B955" s="1"/>
      <c r="C955" s="1"/>
      <c r="D955" s="1"/>
      <c r="E955" s="8"/>
      <c r="F955" s="5"/>
    </row>
    <row r="956" spans="2:6">
      <c r="B956" s="1"/>
      <c r="C956" s="1"/>
      <c r="D956" s="1"/>
      <c r="E956" s="8"/>
      <c r="F956" s="5"/>
    </row>
    <row r="957" spans="2:6">
      <c r="B957" s="1"/>
      <c r="C957" s="1"/>
      <c r="D957" s="1"/>
      <c r="E957" s="8"/>
      <c r="F957" s="5"/>
    </row>
    <row r="958" spans="2:6">
      <c r="B958" s="1"/>
      <c r="C958" s="1"/>
      <c r="D958" s="1"/>
      <c r="E958" s="8"/>
      <c r="F958" s="5"/>
    </row>
    <row r="959" spans="2:6">
      <c r="B959" s="1"/>
      <c r="C959" s="1"/>
      <c r="D959" s="1"/>
      <c r="E959" s="8"/>
      <c r="F959" s="5"/>
    </row>
    <row r="960" spans="2:6">
      <c r="B960" s="1"/>
      <c r="C960" s="1"/>
      <c r="D960" s="1"/>
      <c r="E960" s="8"/>
      <c r="F960" s="5"/>
    </row>
    <row r="961" spans="2:6">
      <c r="B961" s="1"/>
      <c r="C961" s="1"/>
      <c r="D961" s="1"/>
      <c r="E961" s="8"/>
      <c r="F961" s="5"/>
    </row>
    <row r="962" spans="2:6">
      <c r="B962" s="1"/>
      <c r="C962" s="1"/>
      <c r="D962" s="1"/>
      <c r="E962" s="8"/>
      <c r="F962" s="5"/>
    </row>
    <row r="963" spans="2:6">
      <c r="B963" s="1"/>
      <c r="C963" s="1"/>
      <c r="D963" s="1"/>
      <c r="E963" s="8"/>
      <c r="F963" s="5"/>
    </row>
    <row r="964" spans="2:6">
      <c r="B964" s="1"/>
      <c r="C964" s="1"/>
      <c r="D964" s="1"/>
      <c r="E964" s="8"/>
      <c r="F964" s="5"/>
    </row>
    <row r="965" spans="2:6">
      <c r="B965" s="1"/>
      <c r="C965" s="1"/>
      <c r="D965" s="1"/>
      <c r="E965" s="8"/>
      <c r="F965" s="5"/>
    </row>
    <row r="966" spans="2:6">
      <c r="B966" s="1"/>
      <c r="C966" s="1"/>
      <c r="D966" s="1"/>
      <c r="E966" s="8"/>
      <c r="F966" s="5"/>
    </row>
    <row r="967" spans="2:6">
      <c r="B967" s="1"/>
      <c r="C967" s="1"/>
      <c r="D967" s="1"/>
      <c r="E967" s="8"/>
      <c r="F967" s="5"/>
    </row>
    <row r="968" spans="2:6">
      <c r="B968" s="1"/>
      <c r="C968" s="1"/>
      <c r="D968" s="1"/>
      <c r="E968" s="8"/>
      <c r="F968" s="5"/>
    </row>
    <row r="969" spans="2:6">
      <c r="B969" s="1"/>
      <c r="C969" s="1"/>
      <c r="D969" s="1"/>
      <c r="E969" s="8"/>
      <c r="F969" s="5"/>
    </row>
    <row r="970" spans="2:6">
      <c r="B970" s="1"/>
      <c r="C970" s="1"/>
      <c r="D970" s="1"/>
      <c r="E970" s="8"/>
      <c r="F970" s="5"/>
    </row>
    <row r="971" spans="2:6">
      <c r="B971" s="1"/>
      <c r="C971" s="1"/>
      <c r="D971" s="1"/>
      <c r="E971" s="8"/>
      <c r="F971" s="5"/>
    </row>
    <row r="972" spans="2:6">
      <c r="B972" s="1"/>
      <c r="C972" s="1"/>
      <c r="D972" s="1"/>
      <c r="E972" s="8"/>
      <c r="F972" s="5"/>
    </row>
    <row r="973" spans="2:6">
      <c r="B973" s="1"/>
      <c r="C973" s="1"/>
      <c r="D973" s="1"/>
      <c r="E973" s="8"/>
      <c r="F973" s="5"/>
    </row>
    <row r="974" spans="2:6">
      <c r="B974" s="1"/>
      <c r="C974" s="1"/>
      <c r="D974" s="1"/>
      <c r="E974" s="8"/>
      <c r="F974" s="5"/>
    </row>
    <row r="975" spans="2:6">
      <c r="B975" s="1"/>
      <c r="C975" s="1"/>
      <c r="D975" s="1"/>
      <c r="E975" s="8"/>
      <c r="F975" s="5"/>
    </row>
    <row r="976" spans="2:6">
      <c r="B976" s="1"/>
      <c r="C976" s="1"/>
      <c r="D976" s="1"/>
      <c r="E976" s="8"/>
      <c r="F976" s="5"/>
    </row>
    <row r="977" spans="2:6">
      <c r="B977" s="1"/>
      <c r="C977" s="1"/>
      <c r="D977" s="1"/>
      <c r="E977" s="8"/>
      <c r="F977" s="5"/>
    </row>
    <row r="978" spans="2:6">
      <c r="B978" s="1"/>
      <c r="C978" s="1"/>
      <c r="D978" s="1"/>
      <c r="E978" s="8"/>
      <c r="F978" s="5"/>
    </row>
    <row r="979" spans="2:6">
      <c r="B979" s="1"/>
      <c r="C979" s="1"/>
      <c r="D979" s="1"/>
      <c r="E979" s="8"/>
      <c r="F979" s="5"/>
    </row>
    <row r="980" spans="2:6">
      <c r="B980" s="1"/>
      <c r="C980" s="1"/>
      <c r="D980" s="1"/>
      <c r="E980" s="8"/>
      <c r="F980" s="5"/>
    </row>
    <row r="981" spans="2:6">
      <c r="B981" s="1"/>
      <c r="C981" s="1"/>
      <c r="D981" s="1"/>
      <c r="E981" s="8"/>
      <c r="F981" s="5"/>
    </row>
    <row r="982" spans="2:6">
      <c r="B982" s="1"/>
      <c r="C982" s="1"/>
      <c r="D982" s="1"/>
      <c r="E982" s="8"/>
      <c r="F982" s="5"/>
    </row>
    <row r="983" spans="2:6">
      <c r="B983" s="1"/>
      <c r="C983" s="1"/>
      <c r="D983" s="1"/>
      <c r="E983" s="8"/>
      <c r="F983" s="5"/>
    </row>
    <row r="984" spans="2:6">
      <c r="B984" s="1"/>
      <c r="C984" s="1"/>
      <c r="D984" s="1"/>
      <c r="E984" s="8"/>
      <c r="F984" s="5"/>
    </row>
    <row r="985" spans="2:6">
      <c r="B985" s="1"/>
      <c r="C985" s="1"/>
      <c r="D985" s="1"/>
      <c r="E985" s="8"/>
      <c r="F985" s="5"/>
    </row>
    <row r="986" spans="2:6">
      <c r="B986" s="1"/>
      <c r="C986" s="1"/>
      <c r="D986" s="1"/>
      <c r="E986" s="8"/>
      <c r="F986" s="5"/>
    </row>
    <row r="987" spans="2:6">
      <c r="B987" s="1"/>
      <c r="C987" s="1"/>
      <c r="D987" s="1"/>
      <c r="E987" s="8"/>
      <c r="F987" s="5"/>
    </row>
    <row r="988" spans="2:6">
      <c r="B988" s="1"/>
      <c r="C988" s="1"/>
      <c r="D988" s="1"/>
      <c r="E988" s="8"/>
      <c r="F988" s="5"/>
    </row>
    <row r="989" spans="2:6">
      <c r="B989" s="1"/>
      <c r="C989" s="1"/>
      <c r="D989" s="1"/>
      <c r="E989" s="8"/>
      <c r="F989" s="5"/>
    </row>
    <row r="990" spans="2:6">
      <c r="B990" s="1"/>
      <c r="C990" s="1"/>
      <c r="D990" s="1"/>
      <c r="E990" s="8"/>
      <c r="F990" s="5"/>
    </row>
    <row r="991" spans="2:6">
      <c r="B991" s="1"/>
      <c r="C991" s="1"/>
      <c r="D991" s="1"/>
      <c r="E991" s="8"/>
      <c r="F991" s="5"/>
    </row>
    <row r="992" spans="2:6">
      <c r="B992" s="1"/>
      <c r="C992" s="1"/>
      <c r="D992" s="1"/>
      <c r="E992" s="8"/>
      <c r="F992" s="5"/>
    </row>
    <row r="993" spans="2:6">
      <c r="B993" s="1"/>
      <c r="C993" s="1"/>
      <c r="D993" s="1"/>
      <c r="E993" s="8"/>
      <c r="F993" s="5"/>
    </row>
    <row r="994" spans="2:6">
      <c r="B994" s="1"/>
      <c r="C994" s="1"/>
      <c r="D994" s="1"/>
      <c r="E994" s="8"/>
      <c r="F994" s="5"/>
    </row>
    <row r="995" spans="2:6">
      <c r="B995" s="1"/>
      <c r="C995" s="1"/>
      <c r="D995" s="1"/>
      <c r="E995" s="8"/>
      <c r="F995" s="5"/>
    </row>
    <row r="996" spans="2:6">
      <c r="B996" s="1"/>
      <c r="C996" s="1"/>
      <c r="D996" s="1"/>
      <c r="E996" s="8"/>
      <c r="F996" s="5"/>
    </row>
    <row r="997" spans="2:6">
      <c r="B997" s="1"/>
      <c r="C997" s="1"/>
      <c r="D997" s="1"/>
      <c r="E997" s="8"/>
      <c r="F997" s="5"/>
    </row>
    <row r="998" spans="2:6">
      <c r="B998" s="1"/>
      <c r="C998" s="1"/>
      <c r="D998" s="1"/>
      <c r="E998" s="8"/>
      <c r="F998" s="5"/>
    </row>
    <row r="999" spans="2:6">
      <c r="B999" s="1"/>
      <c r="C999" s="1"/>
      <c r="D999" s="1"/>
      <c r="E999" s="8"/>
      <c r="F999" s="5"/>
    </row>
    <row r="1000" spans="2:6">
      <c r="B1000" s="1"/>
      <c r="C1000" s="1"/>
      <c r="D1000" s="1"/>
      <c r="E1000" s="8"/>
      <c r="F1000" s="5"/>
    </row>
    <row r="1001" spans="2:6">
      <c r="B1001" s="1"/>
      <c r="C1001" s="1"/>
      <c r="D1001" s="1"/>
      <c r="E1001" s="8"/>
      <c r="F1001" s="5"/>
    </row>
    <row r="1002" spans="2:6">
      <c r="B1002" s="1"/>
      <c r="C1002" s="1"/>
      <c r="D1002" s="1"/>
      <c r="E1002" s="8"/>
      <c r="F1002" s="5"/>
    </row>
    <row r="1003" spans="2:6">
      <c r="B1003" s="1"/>
      <c r="C1003" s="1"/>
      <c r="D1003" s="1"/>
      <c r="E1003" s="8"/>
      <c r="F1003" s="5"/>
    </row>
    <row r="1004" spans="2:6">
      <c r="B1004" s="1"/>
      <c r="C1004" s="1"/>
      <c r="D1004" s="1"/>
      <c r="E1004" s="8"/>
      <c r="F1004" s="5"/>
    </row>
    <row r="1005" spans="2:6">
      <c r="B1005" s="1"/>
      <c r="C1005" s="1"/>
      <c r="D1005" s="1"/>
      <c r="E1005" s="8"/>
      <c r="F1005" s="5"/>
    </row>
    <row r="1006" spans="2:6">
      <c r="B1006" s="1"/>
      <c r="C1006" s="1"/>
      <c r="D1006" s="1"/>
      <c r="E1006" s="8"/>
      <c r="F1006" s="5"/>
    </row>
    <row r="1007" spans="2:6">
      <c r="B1007" s="1"/>
      <c r="C1007" s="1"/>
      <c r="D1007" s="1"/>
      <c r="E1007" s="8"/>
      <c r="F1007" s="5"/>
    </row>
    <row r="1008" spans="2:6">
      <c r="B1008" s="1"/>
      <c r="C1008" s="1"/>
      <c r="D1008" s="1"/>
      <c r="E1008" s="8"/>
      <c r="F1008" s="5"/>
    </row>
    <row r="1009" spans="2:6">
      <c r="B1009" s="1"/>
      <c r="C1009" s="1"/>
      <c r="D1009" s="1"/>
      <c r="E1009" s="8"/>
      <c r="F1009" s="5"/>
    </row>
    <row r="1010" spans="2:6">
      <c r="B1010" s="1"/>
      <c r="C1010" s="1"/>
      <c r="D1010" s="1"/>
      <c r="E1010" s="8"/>
      <c r="F1010" s="5"/>
    </row>
    <row r="1011" spans="2:6">
      <c r="B1011" s="1"/>
      <c r="C1011" s="1"/>
      <c r="D1011" s="1"/>
      <c r="E1011" s="8"/>
      <c r="F1011" s="5"/>
    </row>
    <row r="1012" spans="2:6">
      <c r="B1012" s="1"/>
      <c r="C1012" s="1"/>
      <c r="D1012" s="1"/>
      <c r="E1012" s="8"/>
      <c r="F1012" s="5"/>
    </row>
    <row r="1013" spans="2:6">
      <c r="B1013" s="1"/>
      <c r="C1013" s="1"/>
      <c r="D1013" s="1"/>
      <c r="E1013" s="8"/>
      <c r="F1013" s="5"/>
    </row>
    <row r="1014" spans="2:6">
      <c r="B1014" s="1"/>
      <c r="C1014" s="1"/>
      <c r="D1014" s="1"/>
      <c r="E1014" s="8"/>
      <c r="F1014" s="5"/>
    </row>
    <row r="1015" spans="2:6">
      <c r="B1015" s="1"/>
      <c r="C1015" s="1"/>
      <c r="D1015" s="1"/>
      <c r="E1015" s="8"/>
      <c r="F1015" s="5"/>
    </row>
    <row r="1016" spans="2:6">
      <c r="B1016" s="1"/>
      <c r="C1016" s="1"/>
      <c r="D1016" s="1"/>
      <c r="E1016" s="8"/>
      <c r="F1016" s="5"/>
    </row>
    <row r="1017" spans="2:6">
      <c r="B1017" s="1"/>
      <c r="C1017" s="1"/>
      <c r="D1017" s="1"/>
      <c r="E1017" s="8"/>
      <c r="F1017" s="5"/>
    </row>
    <row r="1018" spans="2:6">
      <c r="B1018" s="1"/>
      <c r="C1018" s="1"/>
      <c r="D1018" s="1"/>
      <c r="E1018" s="8"/>
      <c r="F1018" s="5"/>
    </row>
    <row r="1019" spans="2:6">
      <c r="B1019" s="1"/>
      <c r="C1019" s="1"/>
      <c r="D1019" s="1"/>
      <c r="E1019" s="8"/>
      <c r="F1019" s="5"/>
    </row>
    <row r="1020" spans="2:6">
      <c r="B1020" s="1"/>
      <c r="C1020" s="1"/>
      <c r="D1020" s="1"/>
      <c r="E1020" s="8"/>
      <c r="F1020" s="5"/>
    </row>
    <row r="1021" spans="2:6">
      <c r="B1021" s="1"/>
      <c r="C1021" s="1"/>
      <c r="D1021" s="1"/>
      <c r="E1021" s="8"/>
      <c r="F1021" s="5"/>
    </row>
    <row r="1022" spans="2:6">
      <c r="B1022" s="1"/>
      <c r="C1022" s="1"/>
      <c r="D1022" s="1"/>
      <c r="E1022" s="8"/>
      <c r="F1022" s="5"/>
    </row>
    <row r="1023" spans="2:6">
      <c r="B1023" s="1"/>
      <c r="C1023" s="1"/>
      <c r="D1023" s="1"/>
      <c r="E1023" s="8"/>
      <c r="F1023" s="5"/>
    </row>
    <row r="1024" spans="2:6">
      <c r="B1024" s="1"/>
      <c r="C1024" s="1"/>
      <c r="D1024" s="1"/>
      <c r="E1024" s="8"/>
      <c r="F1024" s="5"/>
    </row>
    <row r="1025" spans="2:6">
      <c r="B1025" s="1"/>
      <c r="C1025" s="1"/>
      <c r="D1025" s="1"/>
      <c r="E1025" s="8"/>
      <c r="F1025" s="5"/>
    </row>
    <row r="1026" spans="2:6">
      <c r="B1026" s="1"/>
      <c r="C1026" s="1"/>
      <c r="D1026" s="1"/>
      <c r="E1026" s="8"/>
      <c r="F1026" s="5"/>
    </row>
    <row r="1027" spans="2:6">
      <c r="B1027" s="1"/>
      <c r="C1027" s="1"/>
      <c r="D1027" s="1"/>
      <c r="E1027" s="8"/>
      <c r="F1027" s="5"/>
    </row>
    <row r="1028" spans="2:6">
      <c r="B1028" s="1"/>
      <c r="C1028" s="1"/>
      <c r="D1028" s="1"/>
      <c r="E1028" s="8"/>
      <c r="F1028" s="5"/>
    </row>
    <row r="1029" spans="2:6">
      <c r="B1029" s="1"/>
      <c r="C1029" s="1"/>
      <c r="D1029" s="1"/>
      <c r="E1029" s="8"/>
      <c r="F1029" s="5"/>
    </row>
    <row r="1030" spans="2:6">
      <c r="B1030" s="1"/>
      <c r="C1030" s="1"/>
      <c r="D1030" s="1"/>
      <c r="E1030" s="8"/>
      <c r="F1030" s="5"/>
    </row>
    <row r="1031" spans="2:6">
      <c r="B1031" s="1"/>
      <c r="C1031" s="1"/>
      <c r="D1031" s="1"/>
      <c r="E1031" s="8"/>
      <c r="F1031" s="5"/>
    </row>
    <row r="1032" spans="2:6">
      <c r="B1032" s="1"/>
      <c r="C1032" s="1"/>
      <c r="D1032" s="1"/>
      <c r="E1032" s="8"/>
      <c r="F1032" s="5"/>
    </row>
    <row r="1033" spans="2:6">
      <c r="B1033" s="1"/>
      <c r="C1033" s="1"/>
      <c r="D1033" s="1"/>
      <c r="E1033" s="8"/>
      <c r="F1033" s="5"/>
    </row>
    <row r="1034" spans="2:6">
      <c r="B1034" s="1"/>
      <c r="C1034" s="1"/>
      <c r="D1034" s="1"/>
      <c r="E1034" s="8"/>
      <c r="F1034" s="5"/>
    </row>
    <row r="1035" spans="2:6">
      <c r="B1035" s="1"/>
      <c r="C1035" s="1"/>
      <c r="D1035" s="1"/>
      <c r="E1035" s="8"/>
      <c r="F1035" s="5"/>
    </row>
    <row r="1036" spans="2:6">
      <c r="B1036" s="1"/>
      <c r="C1036" s="1"/>
      <c r="D1036" s="1"/>
      <c r="E1036" s="8"/>
      <c r="F1036" s="5"/>
    </row>
    <row r="1037" spans="2:6">
      <c r="B1037" s="1"/>
      <c r="C1037" s="1"/>
      <c r="D1037" s="1"/>
      <c r="E1037" s="8"/>
      <c r="F1037" s="5"/>
    </row>
    <row r="1038" spans="2:6">
      <c r="B1038" s="1"/>
      <c r="C1038" s="1"/>
      <c r="D1038" s="1"/>
      <c r="E1038" s="8"/>
      <c r="F1038" s="5"/>
    </row>
    <row r="1039" spans="2:6">
      <c r="B1039" s="1"/>
      <c r="C1039" s="1"/>
      <c r="D1039" s="1"/>
      <c r="E1039" s="8"/>
      <c r="F1039" s="5"/>
    </row>
    <row r="1040" spans="2:6">
      <c r="B1040" s="1"/>
      <c r="C1040" s="1"/>
      <c r="D1040" s="1"/>
      <c r="E1040" s="8"/>
      <c r="F1040" s="5"/>
    </row>
    <row r="1041" spans="2:6">
      <c r="B1041" s="1"/>
      <c r="C1041" s="1"/>
      <c r="D1041" s="1"/>
      <c r="E1041" s="8"/>
      <c r="F1041" s="5"/>
    </row>
    <row r="1042" spans="2:6">
      <c r="B1042" s="1"/>
      <c r="C1042" s="1"/>
      <c r="D1042" s="1"/>
      <c r="E1042" s="8"/>
      <c r="F1042" s="5"/>
    </row>
    <row r="1043" spans="2:6">
      <c r="B1043" s="1"/>
      <c r="C1043" s="1"/>
      <c r="D1043" s="1"/>
      <c r="E1043" s="8"/>
      <c r="F1043" s="5"/>
    </row>
    <row r="1044" spans="2:6">
      <c r="B1044" s="1"/>
      <c r="C1044" s="1"/>
      <c r="D1044" s="1"/>
      <c r="E1044" s="8"/>
      <c r="F1044" s="5"/>
    </row>
    <row r="1045" spans="2:6">
      <c r="B1045" s="1"/>
      <c r="C1045" s="1"/>
      <c r="D1045" s="1"/>
      <c r="E1045" s="8"/>
      <c r="F1045" s="5"/>
    </row>
    <row r="1046" spans="2:6">
      <c r="B1046" s="1"/>
      <c r="C1046" s="1"/>
      <c r="D1046" s="1"/>
      <c r="E1046" s="8"/>
      <c r="F1046" s="5"/>
    </row>
    <row r="1047" spans="2:6">
      <c r="B1047" s="1"/>
      <c r="C1047" s="1"/>
      <c r="D1047" s="1"/>
      <c r="E1047" s="8"/>
      <c r="F1047" s="5"/>
    </row>
    <row r="1048" spans="2:6">
      <c r="B1048" s="1"/>
      <c r="C1048" s="1"/>
      <c r="D1048" s="1"/>
      <c r="E1048" s="8"/>
      <c r="F1048" s="5"/>
    </row>
    <row r="1049" spans="2:6">
      <c r="B1049" s="1"/>
      <c r="C1049" s="1"/>
      <c r="D1049" s="1"/>
      <c r="E1049" s="8"/>
      <c r="F1049" s="5"/>
    </row>
    <row r="1050" spans="2:6">
      <c r="B1050" s="1"/>
      <c r="C1050" s="1"/>
      <c r="D1050" s="1"/>
      <c r="E1050" s="8"/>
      <c r="F1050" s="5"/>
    </row>
    <row r="1051" spans="2:6">
      <c r="B1051" s="1"/>
      <c r="C1051" s="1"/>
      <c r="D1051" s="1"/>
      <c r="E1051" s="8"/>
      <c r="F1051" s="5"/>
    </row>
    <row r="1052" spans="2:6">
      <c r="B1052" s="1"/>
      <c r="C1052" s="1"/>
      <c r="D1052" s="1"/>
      <c r="E1052" s="8"/>
      <c r="F1052" s="5"/>
    </row>
    <row r="1053" spans="2:6">
      <c r="B1053" s="1"/>
      <c r="C1053" s="1"/>
      <c r="D1053" s="1"/>
      <c r="E1053" s="8"/>
      <c r="F1053" s="5"/>
    </row>
    <row r="1054" spans="2:6">
      <c r="B1054" s="1"/>
      <c r="C1054" s="1"/>
      <c r="D1054" s="1"/>
      <c r="E1054" s="8"/>
      <c r="F1054" s="5"/>
    </row>
    <row r="1055" spans="2:6">
      <c r="B1055" s="1"/>
      <c r="C1055" s="1"/>
      <c r="D1055" s="1"/>
      <c r="E1055" s="8"/>
      <c r="F1055" s="5"/>
    </row>
    <row r="1056" spans="2:6">
      <c r="B1056" s="1"/>
      <c r="C1056" s="1"/>
      <c r="D1056" s="1"/>
      <c r="E1056" s="8"/>
      <c r="F1056" s="5"/>
    </row>
    <row r="1057" spans="2:6">
      <c r="B1057" s="1"/>
      <c r="C1057" s="1"/>
      <c r="D1057" s="1"/>
      <c r="E1057" s="8"/>
      <c r="F1057" s="5"/>
    </row>
    <row r="1058" spans="2:6">
      <c r="B1058" s="1"/>
      <c r="C1058" s="1"/>
      <c r="D1058" s="1"/>
      <c r="E1058" s="8"/>
      <c r="F1058" s="5"/>
    </row>
    <row r="1059" spans="2:6">
      <c r="B1059" s="1"/>
      <c r="C1059" s="1"/>
      <c r="D1059" s="1"/>
      <c r="E1059" s="8"/>
      <c r="F1059" s="5"/>
    </row>
    <row r="1060" spans="2:6">
      <c r="B1060" s="1"/>
      <c r="C1060" s="1"/>
      <c r="D1060" s="1"/>
      <c r="E1060" s="8"/>
      <c r="F1060" s="5"/>
    </row>
    <row r="1061" spans="2:6">
      <c r="B1061" s="1"/>
      <c r="C1061" s="1"/>
      <c r="D1061" s="1"/>
      <c r="E1061" s="8"/>
      <c r="F1061" s="5"/>
    </row>
    <row r="1062" spans="2:6">
      <c r="B1062" s="1"/>
      <c r="C1062" s="1"/>
      <c r="D1062" s="1"/>
      <c r="E1062" s="8"/>
      <c r="F1062" s="5"/>
    </row>
    <row r="1063" spans="2:6">
      <c r="B1063" s="1"/>
      <c r="C1063" s="1"/>
      <c r="D1063" s="1"/>
      <c r="E1063" s="8"/>
      <c r="F1063" s="5"/>
    </row>
    <row r="1064" spans="2:6">
      <c r="B1064" s="1"/>
      <c r="C1064" s="1"/>
      <c r="D1064" s="1"/>
      <c r="E1064" s="8"/>
      <c r="F1064" s="5"/>
    </row>
    <row r="1065" spans="2:6">
      <c r="B1065" s="1"/>
      <c r="C1065" s="1"/>
      <c r="D1065" s="1"/>
      <c r="E1065" s="8"/>
      <c r="F1065" s="5"/>
    </row>
    <row r="1066" spans="2:6">
      <c r="B1066" s="1"/>
      <c r="C1066" s="1"/>
      <c r="D1066" s="1"/>
      <c r="E1066" s="8"/>
      <c r="F1066" s="5"/>
    </row>
    <row r="1067" spans="2:6">
      <c r="B1067" s="1"/>
      <c r="C1067" s="1"/>
      <c r="D1067" s="1"/>
      <c r="E1067" s="8"/>
      <c r="F1067" s="5"/>
    </row>
    <row r="1068" spans="2:6">
      <c r="B1068" s="1"/>
      <c r="C1068" s="1"/>
      <c r="D1068" s="1"/>
      <c r="E1068" s="8"/>
      <c r="F1068" s="5"/>
    </row>
    <row r="1069" spans="2:6">
      <c r="B1069" s="1"/>
      <c r="C1069" s="1"/>
      <c r="D1069" s="1"/>
      <c r="E1069" s="8"/>
      <c r="F1069" s="5"/>
    </row>
    <row r="1070" spans="2:6">
      <c r="B1070" s="1"/>
      <c r="C1070" s="1"/>
      <c r="D1070" s="1"/>
      <c r="E1070" s="8"/>
      <c r="F1070" s="5"/>
    </row>
    <row r="1071" spans="2:6">
      <c r="B1071" s="1"/>
      <c r="C1071" s="1"/>
      <c r="D1071" s="1"/>
      <c r="E1071" s="8"/>
      <c r="F1071" s="5"/>
    </row>
    <row r="1072" spans="2:6">
      <c r="B1072" s="1"/>
      <c r="C1072" s="1"/>
      <c r="D1072" s="1"/>
      <c r="E1072" s="8"/>
      <c r="F1072" s="5"/>
    </row>
    <row r="1073" spans="2:6">
      <c r="B1073" s="1"/>
      <c r="C1073" s="1"/>
      <c r="D1073" s="1"/>
      <c r="E1073" s="8"/>
      <c r="F1073" s="5"/>
    </row>
    <row r="1074" spans="2:6">
      <c r="B1074" s="1"/>
      <c r="C1074" s="1"/>
      <c r="D1074" s="1"/>
      <c r="E1074" s="8"/>
      <c r="F1074" s="5"/>
    </row>
    <row r="1075" spans="2:6">
      <c r="B1075" s="1"/>
      <c r="C1075" s="1"/>
      <c r="D1075" s="1"/>
      <c r="E1075" s="8"/>
      <c r="F1075" s="5"/>
    </row>
    <row r="1076" spans="2:6">
      <c r="B1076" s="1"/>
      <c r="C1076" s="1"/>
      <c r="D1076" s="1"/>
      <c r="E1076" s="8"/>
      <c r="F1076" s="5"/>
    </row>
    <row r="1077" spans="2:6">
      <c r="B1077" s="1"/>
      <c r="C1077" s="1"/>
      <c r="D1077" s="1"/>
      <c r="E1077" s="8"/>
      <c r="F1077" s="5"/>
    </row>
    <row r="1078" spans="2:6">
      <c r="B1078" s="1"/>
      <c r="C1078" s="1"/>
      <c r="D1078" s="1"/>
      <c r="E1078" s="8"/>
      <c r="F1078" s="5"/>
    </row>
    <row r="1079" spans="2:6">
      <c r="B1079" s="1"/>
      <c r="C1079" s="1"/>
      <c r="D1079" s="1"/>
      <c r="E1079" s="8"/>
      <c r="F1079" s="5"/>
    </row>
    <row r="1080" spans="2:6">
      <c r="B1080" s="1"/>
      <c r="C1080" s="1"/>
      <c r="D1080" s="1"/>
      <c r="E1080" s="8"/>
      <c r="F1080" s="5"/>
    </row>
    <row r="1081" spans="2:6">
      <c r="B1081" s="1"/>
      <c r="C1081" s="1"/>
      <c r="D1081" s="1"/>
      <c r="E1081" s="8"/>
      <c r="F1081" s="5"/>
    </row>
    <row r="1082" spans="2:6">
      <c r="B1082" s="1"/>
      <c r="C1082" s="1"/>
      <c r="D1082" s="1"/>
      <c r="E1082" s="8"/>
      <c r="F1082" s="5"/>
    </row>
    <row r="1083" spans="2:6">
      <c r="B1083" s="1"/>
      <c r="C1083" s="1"/>
      <c r="D1083" s="1"/>
      <c r="E1083" s="8"/>
      <c r="F1083" s="5"/>
    </row>
    <row r="1084" spans="2:6">
      <c r="B1084" s="1"/>
      <c r="C1084" s="1"/>
      <c r="D1084" s="1"/>
      <c r="E1084" s="8"/>
      <c r="F1084" s="5"/>
    </row>
    <row r="1085" spans="2:6">
      <c r="B1085" s="1"/>
      <c r="C1085" s="1"/>
      <c r="D1085" s="1"/>
      <c r="E1085" s="8"/>
      <c r="F1085" s="5"/>
    </row>
    <row r="1086" spans="2:6">
      <c r="B1086" s="1"/>
      <c r="C1086" s="1"/>
      <c r="D1086" s="1"/>
      <c r="E1086" s="8"/>
      <c r="F1086" s="5"/>
    </row>
    <row r="1087" spans="2:6">
      <c r="B1087" s="1"/>
      <c r="C1087" s="1"/>
      <c r="D1087" s="1"/>
      <c r="E1087" s="8"/>
      <c r="F1087" s="5"/>
    </row>
    <row r="1088" spans="2:6">
      <c r="B1088" s="1"/>
      <c r="C1088" s="1"/>
      <c r="D1088" s="1"/>
      <c r="E1088" s="8"/>
      <c r="F1088" s="5"/>
    </row>
    <row r="1089" spans="2:6">
      <c r="B1089" s="1"/>
      <c r="C1089" s="1"/>
      <c r="D1089" s="1"/>
      <c r="E1089" s="8"/>
      <c r="F1089" s="5"/>
    </row>
    <row r="1090" spans="2:6">
      <c r="B1090" s="1"/>
      <c r="C1090" s="1"/>
      <c r="D1090" s="1"/>
      <c r="E1090" s="8"/>
      <c r="F1090" s="5"/>
    </row>
    <row r="1091" spans="2:6">
      <c r="B1091" s="1"/>
      <c r="C1091" s="1"/>
      <c r="D1091" s="1"/>
      <c r="E1091" s="8"/>
      <c r="F1091" s="5"/>
    </row>
    <row r="1092" spans="2:6">
      <c r="B1092" s="1"/>
      <c r="C1092" s="1"/>
      <c r="D1092" s="1"/>
      <c r="E1092" s="8"/>
      <c r="F1092" s="5"/>
    </row>
    <row r="1093" spans="2:6">
      <c r="B1093" s="1"/>
      <c r="C1093" s="1"/>
      <c r="D1093" s="1"/>
      <c r="E1093" s="8"/>
      <c r="F1093" s="5"/>
    </row>
    <row r="1094" spans="2:6">
      <c r="B1094" s="1"/>
      <c r="C1094" s="1"/>
      <c r="D1094" s="1"/>
      <c r="E1094" s="8"/>
      <c r="F1094" s="5"/>
    </row>
    <row r="1095" spans="2:6">
      <c r="B1095" s="1"/>
      <c r="C1095" s="1"/>
      <c r="D1095" s="1"/>
      <c r="E1095" s="8"/>
      <c r="F1095" s="5"/>
    </row>
    <row r="1096" spans="2:6">
      <c r="B1096" s="1"/>
      <c r="C1096" s="1"/>
      <c r="D1096" s="1"/>
      <c r="E1096" s="8"/>
      <c r="F1096" s="5"/>
    </row>
    <row r="1097" spans="2:6">
      <c r="B1097" s="1"/>
      <c r="C1097" s="1"/>
      <c r="D1097" s="1"/>
      <c r="E1097" s="8"/>
      <c r="F1097" s="5"/>
    </row>
    <row r="1098" spans="2:6">
      <c r="B1098" s="1"/>
      <c r="C1098" s="1"/>
      <c r="D1098" s="1"/>
      <c r="E1098" s="8"/>
      <c r="F1098" s="5"/>
    </row>
    <row r="1099" spans="2:6">
      <c r="B1099" s="1"/>
      <c r="C1099" s="1"/>
      <c r="D1099" s="1"/>
      <c r="E1099" s="8"/>
      <c r="F1099" s="5"/>
    </row>
    <row r="1100" spans="2:6">
      <c r="B1100" s="1"/>
      <c r="C1100" s="1"/>
      <c r="D1100" s="1"/>
      <c r="E1100" s="8"/>
      <c r="F1100" s="5"/>
    </row>
    <row r="1101" spans="2:6">
      <c r="B1101" s="1"/>
      <c r="C1101" s="1"/>
      <c r="D1101" s="1"/>
      <c r="E1101" s="8"/>
      <c r="F1101" s="5"/>
    </row>
    <row r="1102" spans="2:6">
      <c r="B1102" s="1"/>
      <c r="C1102" s="1"/>
      <c r="D1102" s="1"/>
      <c r="E1102" s="8"/>
      <c r="F1102" s="5"/>
    </row>
    <row r="1103" spans="2:6">
      <c r="B1103" s="1"/>
      <c r="C1103" s="1"/>
      <c r="D1103" s="1"/>
      <c r="E1103" s="8"/>
      <c r="F1103" s="5"/>
    </row>
    <row r="1104" spans="2:6">
      <c r="B1104" s="1"/>
      <c r="C1104" s="1"/>
      <c r="D1104" s="1"/>
      <c r="E1104" s="8"/>
      <c r="F1104" s="5"/>
    </row>
    <row r="1105" spans="2:6">
      <c r="B1105" s="1"/>
      <c r="C1105" s="1"/>
      <c r="D1105" s="1"/>
      <c r="E1105" s="8"/>
      <c r="F1105" s="5"/>
    </row>
    <row r="1106" spans="2:6">
      <c r="B1106" s="1"/>
      <c r="C1106" s="1"/>
      <c r="D1106" s="1"/>
      <c r="E1106" s="8"/>
      <c r="F1106" s="5"/>
    </row>
    <row r="1107" spans="2:6">
      <c r="B1107" s="1"/>
      <c r="C1107" s="1"/>
      <c r="D1107" s="1"/>
      <c r="E1107" s="8"/>
      <c r="F1107" s="5"/>
    </row>
    <row r="1108" spans="2:6">
      <c r="B1108" s="1"/>
      <c r="C1108" s="1"/>
      <c r="D1108" s="1"/>
      <c r="E1108" s="8"/>
      <c r="F1108" s="5"/>
    </row>
    <row r="1109" spans="2:6">
      <c r="B1109" s="1"/>
      <c r="C1109" s="1"/>
      <c r="D1109" s="1"/>
      <c r="E1109" s="8"/>
      <c r="F1109" s="5"/>
    </row>
    <row r="1110" spans="2:6">
      <c r="B1110" s="1"/>
      <c r="C1110" s="1"/>
      <c r="D1110" s="1"/>
      <c r="E1110" s="8"/>
      <c r="F1110" s="5"/>
    </row>
    <row r="1111" spans="2:6">
      <c r="B1111" s="1"/>
      <c r="C1111" s="1"/>
      <c r="D1111" s="1"/>
      <c r="E1111" s="8"/>
      <c r="F1111" s="5"/>
    </row>
    <row r="1112" spans="2:6">
      <c r="B1112" s="1"/>
      <c r="C1112" s="1"/>
      <c r="D1112" s="1"/>
      <c r="E1112" s="8"/>
      <c r="F1112" s="5"/>
    </row>
    <row r="1113" spans="2:6">
      <c r="B1113" s="1"/>
      <c r="C1113" s="1"/>
      <c r="D1113" s="1"/>
      <c r="E1113" s="8"/>
      <c r="F1113" s="5"/>
    </row>
    <row r="1114" spans="2:6">
      <c r="B1114" s="1"/>
      <c r="C1114" s="1"/>
      <c r="D1114" s="1"/>
      <c r="E1114" s="8"/>
      <c r="F1114" s="5"/>
    </row>
    <row r="1115" spans="2:6">
      <c r="B1115" s="1"/>
      <c r="C1115" s="1"/>
      <c r="D1115" s="1"/>
      <c r="E1115" s="8"/>
      <c r="F1115" s="5"/>
    </row>
    <row r="1116" spans="2:6">
      <c r="B1116" s="1"/>
      <c r="C1116" s="1"/>
      <c r="D1116" s="1"/>
      <c r="E1116" s="8"/>
      <c r="F1116" s="5"/>
    </row>
    <row r="1117" spans="2:6">
      <c r="B1117" s="1"/>
      <c r="C1117" s="1"/>
      <c r="D1117" s="1"/>
      <c r="E1117" s="8"/>
      <c r="F1117" s="5"/>
    </row>
    <row r="1118" spans="2:6">
      <c r="B1118" s="1"/>
      <c r="C1118" s="1"/>
      <c r="D1118" s="1"/>
      <c r="E1118" s="8"/>
      <c r="F1118" s="5"/>
    </row>
    <row r="1119" spans="2:6">
      <c r="B1119" s="1"/>
      <c r="C1119" s="1"/>
      <c r="D1119" s="1"/>
      <c r="E1119" s="8"/>
      <c r="F1119" s="5"/>
    </row>
    <row r="1120" spans="2:6">
      <c r="B1120" s="1"/>
      <c r="C1120" s="1"/>
      <c r="D1120" s="1"/>
      <c r="E1120" s="8"/>
      <c r="F1120" s="5"/>
    </row>
    <row r="1121" spans="2:6">
      <c r="B1121" s="1"/>
      <c r="C1121" s="1"/>
      <c r="D1121" s="1"/>
      <c r="E1121" s="8"/>
      <c r="F1121" s="5"/>
    </row>
    <row r="1122" spans="2:6">
      <c r="B1122" s="1"/>
      <c r="C1122" s="1"/>
      <c r="D1122" s="1"/>
      <c r="E1122" s="8"/>
      <c r="F1122" s="5"/>
    </row>
    <row r="1123" spans="2:6">
      <c r="B1123" s="1"/>
      <c r="C1123" s="1"/>
      <c r="D1123" s="1"/>
      <c r="E1123" s="8"/>
      <c r="F1123" s="5"/>
    </row>
    <row r="1124" spans="2:6">
      <c r="B1124" s="1"/>
      <c r="C1124" s="1"/>
      <c r="D1124" s="1"/>
      <c r="E1124" s="8"/>
      <c r="F1124" s="5"/>
    </row>
    <row r="1125" spans="2:6">
      <c r="B1125" s="1"/>
      <c r="C1125" s="1"/>
      <c r="D1125" s="1"/>
      <c r="E1125" s="8"/>
      <c r="F1125" s="5"/>
    </row>
    <row r="1126" spans="2:6">
      <c r="B1126" s="1"/>
      <c r="C1126" s="1"/>
      <c r="D1126" s="1"/>
      <c r="E1126" s="8"/>
      <c r="F1126" s="5"/>
    </row>
    <row r="1127" spans="2:6">
      <c r="B1127" s="1"/>
      <c r="C1127" s="1"/>
      <c r="D1127" s="1"/>
      <c r="E1127" s="8"/>
      <c r="F1127" s="5"/>
    </row>
    <row r="1128" spans="2:6">
      <c r="B1128" s="1"/>
      <c r="C1128" s="1"/>
      <c r="D1128" s="1"/>
      <c r="E1128" s="8"/>
      <c r="F1128" s="5"/>
    </row>
    <row r="1129" spans="2:6">
      <c r="B1129" s="1"/>
      <c r="C1129" s="1"/>
      <c r="D1129" s="1"/>
      <c r="E1129" s="8"/>
      <c r="F1129" s="5"/>
    </row>
    <row r="1130" spans="2:6">
      <c r="B1130" s="1"/>
      <c r="C1130" s="1"/>
      <c r="D1130" s="1"/>
      <c r="E1130" s="8"/>
      <c r="F1130" s="5"/>
    </row>
    <row r="1131" spans="2:6">
      <c r="B1131" s="1"/>
      <c r="C1131" s="1"/>
      <c r="D1131" s="1"/>
      <c r="E1131" s="8"/>
      <c r="F1131" s="5"/>
    </row>
    <row r="1132" spans="2:6">
      <c r="B1132" s="1"/>
      <c r="C1132" s="1"/>
      <c r="D1132" s="1"/>
      <c r="E1132" s="8"/>
      <c r="F1132" s="5"/>
    </row>
    <row r="1133" spans="2:6">
      <c r="B1133" s="1"/>
      <c r="C1133" s="1"/>
      <c r="D1133" s="1"/>
      <c r="E1133" s="8"/>
      <c r="F1133" s="5"/>
    </row>
    <row r="1134" spans="2:6">
      <c r="B1134" s="1"/>
      <c r="C1134" s="1"/>
      <c r="D1134" s="1"/>
      <c r="E1134" s="8"/>
      <c r="F1134" s="5"/>
    </row>
    <row r="1135" spans="2:6">
      <c r="B1135" s="1"/>
      <c r="C1135" s="1"/>
      <c r="D1135" s="1"/>
      <c r="E1135" s="8"/>
      <c r="F1135" s="5"/>
    </row>
    <row r="1136" spans="2:6">
      <c r="B1136" s="1"/>
      <c r="C1136" s="1"/>
      <c r="D1136" s="1"/>
      <c r="E1136" s="8"/>
      <c r="F1136" s="5"/>
    </row>
    <row r="1137" spans="2:6">
      <c r="B1137" s="1"/>
      <c r="C1137" s="1"/>
      <c r="D1137" s="1"/>
      <c r="E1137" s="8"/>
      <c r="F1137" s="5"/>
    </row>
    <row r="1138" spans="2:6">
      <c r="B1138" s="1"/>
      <c r="C1138" s="1"/>
      <c r="D1138" s="1"/>
      <c r="E1138" s="8"/>
      <c r="F1138" s="5"/>
    </row>
    <row r="1139" spans="2:6">
      <c r="B1139" s="1"/>
      <c r="C1139" s="1"/>
      <c r="D1139" s="1"/>
      <c r="E1139" s="8"/>
      <c r="F1139" s="5"/>
    </row>
    <row r="1140" spans="2:6">
      <c r="B1140" s="1"/>
      <c r="C1140" s="1"/>
      <c r="D1140" s="1"/>
      <c r="E1140" s="8"/>
      <c r="F1140" s="5"/>
    </row>
    <row r="1141" spans="2:6">
      <c r="B1141" s="1"/>
      <c r="C1141" s="1"/>
      <c r="D1141" s="1"/>
      <c r="E1141" s="8"/>
      <c r="F1141" s="5"/>
    </row>
    <row r="1142" spans="2:6">
      <c r="B1142" s="1"/>
      <c r="C1142" s="1"/>
      <c r="D1142" s="1"/>
      <c r="E1142" s="8"/>
      <c r="F1142" s="5"/>
    </row>
    <row r="1143" spans="2:6">
      <c r="B1143" s="1"/>
      <c r="C1143" s="1"/>
      <c r="D1143" s="1"/>
      <c r="E1143" s="8"/>
      <c r="F1143" s="5"/>
    </row>
    <row r="1144" spans="2:6">
      <c r="B1144" s="1"/>
      <c r="C1144" s="1"/>
      <c r="D1144" s="1"/>
      <c r="E1144" s="8"/>
      <c r="F1144" s="5"/>
    </row>
    <row r="1145" spans="2:6">
      <c r="B1145" s="1"/>
      <c r="C1145" s="1"/>
      <c r="D1145" s="1"/>
      <c r="E1145" s="8"/>
      <c r="F1145" s="5"/>
    </row>
    <row r="1146" spans="2:6">
      <c r="B1146" s="1"/>
      <c r="C1146" s="1"/>
      <c r="D1146" s="1"/>
      <c r="E1146" s="8"/>
      <c r="F1146" s="5"/>
    </row>
    <row r="1147" spans="2:6">
      <c r="B1147" s="1"/>
      <c r="C1147" s="1"/>
      <c r="D1147" s="1"/>
      <c r="E1147" s="8"/>
      <c r="F1147" s="5"/>
    </row>
    <row r="1148" spans="2:6">
      <c r="B1148" s="1"/>
      <c r="C1148" s="1"/>
      <c r="D1148" s="1"/>
      <c r="E1148" s="8"/>
      <c r="F1148" s="5"/>
    </row>
    <row r="1149" spans="2:6">
      <c r="B1149" s="1"/>
      <c r="C1149" s="1"/>
      <c r="D1149" s="1"/>
      <c r="E1149" s="8"/>
      <c r="F1149" s="5"/>
    </row>
    <row r="1150" spans="2:6">
      <c r="B1150" s="1"/>
      <c r="C1150" s="1"/>
      <c r="D1150" s="1"/>
      <c r="E1150" s="8"/>
      <c r="F1150" s="5"/>
    </row>
    <row r="1151" spans="2:6">
      <c r="B1151" s="1"/>
      <c r="C1151" s="1"/>
      <c r="D1151" s="1"/>
      <c r="E1151" s="8"/>
      <c r="F1151" s="5"/>
    </row>
    <row r="1152" spans="2:6">
      <c r="B1152" s="1"/>
      <c r="C1152" s="1"/>
      <c r="D1152" s="1"/>
      <c r="E1152" s="8"/>
      <c r="F1152" s="5"/>
    </row>
    <row r="1153" spans="2:6">
      <c r="B1153" s="1"/>
      <c r="C1153" s="1"/>
      <c r="D1153" s="1"/>
      <c r="E1153" s="8"/>
      <c r="F1153" s="5"/>
    </row>
    <row r="1154" spans="2:6">
      <c r="B1154" s="1"/>
      <c r="C1154" s="1"/>
      <c r="D1154" s="1"/>
      <c r="E1154" s="8"/>
      <c r="F1154" s="5"/>
    </row>
    <row r="1155" spans="2:6">
      <c r="B1155" s="1"/>
      <c r="C1155" s="1"/>
      <c r="D1155" s="1"/>
      <c r="E1155" s="8"/>
      <c r="F1155" s="5"/>
    </row>
    <row r="1156" spans="2:6">
      <c r="B1156" s="1"/>
      <c r="C1156" s="1"/>
      <c r="D1156" s="1"/>
      <c r="E1156" s="8"/>
      <c r="F1156" s="5"/>
    </row>
    <row r="1157" spans="2:6">
      <c r="B1157" s="1"/>
      <c r="C1157" s="1"/>
      <c r="D1157" s="1"/>
      <c r="E1157" s="8"/>
      <c r="F1157" s="5"/>
    </row>
    <row r="1158" spans="2:6">
      <c r="B1158" s="1"/>
      <c r="C1158" s="1"/>
      <c r="D1158" s="1"/>
      <c r="E1158" s="8"/>
      <c r="F1158" s="5"/>
    </row>
    <row r="1159" spans="2:6">
      <c r="B1159" s="1"/>
      <c r="C1159" s="1"/>
      <c r="D1159" s="1"/>
      <c r="E1159" s="8"/>
      <c r="F1159" s="5"/>
    </row>
    <row r="1160" spans="2:6">
      <c r="B1160" s="1"/>
      <c r="C1160" s="1"/>
      <c r="D1160" s="1"/>
      <c r="E1160" s="8"/>
      <c r="F1160" s="5"/>
    </row>
    <row r="1161" spans="2:6">
      <c r="B1161" s="1"/>
      <c r="C1161" s="1"/>
      <c r="D1161" s="1"/>
      <c r="E1161" s="8"/>
      <c r="F1161" s="5"/>
    </row>
    <row r="1162" spans="2:6">
      <c r="B1162" s="1"/>
      <c r="C1162" s="1"/>
      <c r="D1162" s="1"/>
      <c r="E1162" s="8"/>
      <c r="F1162" s="5"/>
    </row>
    <row r="1163" spans="2:6">
      <c r="B1163" s="1"/>
      <c r="C1163" s="1"/>
      <c r="D1163" s="1"/>
      <c r="E1163" s="8"/>
      <c r="F1163" s="5"/>
    </row>
    <row r="1164" spans="2:6">
      <c r="B1164" s="1"/>
      <c r="C1164" s="1"/>
      <c r="D1164" s="1"/>
      <c r="E1164" s="8"/>
      <c r="F1164" s="5"/>
    </row>
    <row r="1165" spans="2:6">
      <c r="B1165" s="1"/>
      <c r="C1165" s="1"/>
      <c r="D1165" s="1"/>
      <c r="E1165" s="8"/>
      <c r="F1165" s="5"/>
    </row>
    <row r="1166" spans="2:6">
      <c r="B1166" s="1"/>
      <c r="C1166" s="1"/>
      <c r="D1166" s="1"/>
      <c r="E1166" s="8"/>
      <c r="F1166" s="5"/>
    </row>
    <row r="1167" spans="2:6">
      <c r="B1167" s="1"/>
      <c r="C1167" s="1"/>
      <c r="D1167" s="1"/>
      <c r="E1167" s="8"/>
      <c r="F1167" s="5"/>
    </row>
    <row r="1168" spans="2:6">
      <c r="B1168" s="1"/>
      <c r="C1168" s="1"/>
      <c r="D1168" s="1"/>
      <c r="E1168" s="8"/>
      <c r="F1168" s="5"/>
    </row>
    <row r="1169" spans="2:6">
      <c r="B1169" s="1"/>
      <c r="C1169" s="1"/>
      <c r="D1169" s="1"/>
      <c r="E1169" s="8"/>
      <c r="F1169" s="5"/>
    </row>
    <row r="1170" spans="2:6">
      <c r="B1170" s="1"/>
      <c r="C1170" s="1"/>
      <c r="D1170" s="1"/>
      <c r="E1170" s="8"/>
      <c r="F1170" s="5"/>
    </row>
    <row r="1171" spans="2:6">
      <c r="B1171" s="1"/>
      <c r="C1171" s="1"/>
      <c r="D1171" s="1"/>
      <c r="E1171" s="8"/>
      <c r="F1171" s="5"/>
    </row>
    <row r="1172" spans="2:6">
      <c r="B1172" s="1"/>
      <c r="C1172" s="1"/>
      <c r="D1172" s="1"/>
      <c r="E1172" s="8"/>
      <c r="F1172" s="5"/>
    </row>
    <row r="1173" spans="2:6">
      <c r="B1173" s="1"/>
      <c r="C1173" s="1"/>
      <c r="D1173" s="1"/>
      <c r="E1173" s="8"/>
      <c r="F1173" s="5"/>
    </row>
    <row r="1174" spans="2:6">
      <c r="B1174" s="1"/>
      <c r="C1174" s="1"/>
      <c r="D1174" s="1"/>
      <c r="E1174" s="8"/>
      <c r="F1174" s="5"/>
    </row>
    <row r="1175" spans="2:6">
      <c r="B1175" s="1"/>
      <c r="C1175" s="1"/>
      <c r="D1175" s="1"/>
      <c r="E1175" s="8"/>
      <c r="F1175" s="5"/>
    </row>
    <row r="1176" spans="2:6">
      <c r="B1176" s="1"/>
      <c r="C1176" s="1"/>
      <c r="D1176" s="1"/>
      <c r="E1176" s="8"/>
      <c r="F1176" s="5"/>
    </row>
    <row r="1177" spans="2:6">
      <c r="B1177" s="1"/>
      <c r="C1177" s="1"/>
      <c r="D1177" s="1"/>
      <c r="E1177" s="8"/>
      <c r="F1177" s="5"/>
    </row>
    <row r="1178" spans="2:6">
      <c r="B1178" s="1"/>
      <c r="C1178" s="1"/>
      <c r="D1178" s="1"/>
      <c r="E1178" s="8"/>
      <c r="F1178" s="5"/>
    </row>
    <row r="1179" spans="2:6">
      <c r="B1179" s="1"/>
      <c r="C1179" s="1"/>
      <c r="D1179" s="1"/>
      <c r="E1179" s="8"/>
      <c r="F1179" s="5"/>
    </row>
    <row r="1180" spans="2:6">
      <c r="B1180" s="1"/>
      <c r="C1180" s="1"/>
      <c r="D1180" s="1"/>
      <c r="E1180" s="8"/>
      <c r="F1180" s="5"/>
    </row>
    <row r="1181" spans="2:6">
      <c r="B1181" s="1"/>
      <c r="C1181" s="1"/>
      <c r="D1181" s="1"/>
      <c r="E1181" s="8"/>
      <c r="F1181" s="5"/>
    </row>
    <row r="1182" spans="2:6">
      <c r="B1182" s="1"/>
      <c r="C1182" s="1"/>
      <c r="D1182" s="1"/>
      <c r="E1182" s="8"/>
      <c r="F1182" s="5"/>
    </row>
    <row r="1183" spans="2:6">
      <c r="B1183" s="1"/>
      <c r="C1183" s="1"/>
      <c r="D1183" s="1"/>
      <c r="E1183" s="8"/>
      <c r="F1183" s="5"/>
    </row>
    <row r="1184" spans="2:6">
      <c r="B1184" s="1"/>
      <c r="C1184" s="1"/>
      <c r="D1184" s="1"/>
      <c r="E1184" s="8"/>
      <c r="F1184" s="5"/>
    </row>
    <row r="1185" spans="2:6">
      <c r="B1185" s="1"/>
      <c r="C1185" s="1"/>
      <c r="D1185" s="1"/>
      <c r="E1185" s="8"/>
      <c r="F1185" s="5"/>
    </row>
    <row r="1186" spans="2:6">
      <c r="B1186" s="1"/>
      <c r="C1186" s="1"/>
      <c r="D1186" s="1"/>
      <c r="E1186" s="8"/>
      <c r="F1186" s="5"/>
    </row>
    <row r="1187" spans="2:6">
      <c r="B1187" s="1"/>
      <c r="C1187" s="1"/>
      <c r="D1187" s="1"/>
      <c r="E1187" s="8"/>
      <c r="F1187" s="5"/>
    </row>
    <row r="1188" spans="2:6">
      <c r="B1188" s="1"/>
      <c r="C1188" s="1"/>
      <c r="D1188" s="1"/>
      <c r="E1188" s="8"/>
      <c r="F1188" s="5"/>
    </row>
    <row r="1189" spans="2:6">
      <c r="B1189" s="1"/>
      <c r="C1189" s="1"/>
      <c r="D1189" s="1"/>
      <c r="E1189" s="8"/>
      <c r="F1189" s="5"/>
    </row>
    <row r="1190" spans="2:6">
      <c r="B1190" s="1"/>
      <c r="C1190" s="1"/>
      <c r="D1190" s="1"/>
      <c r="E1190" s="8"/>
      <c r="F1190" s="5"/>
    </row>
    <row r="1191" spans="2:6">
      <c r="B1191" s="1"/>
      <c r="C1191" s="1"/>
      <c r="D1191" s="1"/>
      <c r="E1191" s="8"/>
      <c r="F1191" s="5"/>
    </row>
    <row r="1192" spans="2:6">
      <c r="B1192" s="1"/>
      <c r="C1192" s="1"/>
      <c r="D1192" s="1"/>
      <c r="E1192" s="8"/>
      <c r="F1192" s="5"/>
    </row>
    <row r="1193" spans="2:6">
      <c r="B1193" s="1"/>
      <c r="C1193" s="1"/>
      <c r="D1193" s="1"/>
      <c r="E1193" s="8"/>
      <c r="F1193" s="5"/>
    </row>
    <row r="1194" spans="2:6">
      <c r="B1194" s="1"/>
      <c r="C1194" s="1"/>
      <c r="D1194" s="1"/>
      <c r="E1194" s="8"/>
      <c r="F1194" s="5"/>
    </row>
    <row r="1195" spans="2:6">
      <c r="B1195" s="1"/>
      <c r="C1195" s="1"/>
      <c r="D1195" s="1"/>
      <c r="E1195" s="8"/>
      <c r="F1195" s="5"/>
    </row>
    <row r="1196" spans="2:6">
      <c r="B1196" s="1"/>
      <c r="C1196" s="1"/>
      <c r="D1196" s="1"/>
      <c r="E1196" s="8"/>
      <c r="F1196" s="5"/>
    </row>
    <row r="1197" spans="2:6">
      <c r="B1197" s="1"/>
      <c r="C1197" s="1"/>
      <c r="D1197" s="1"/>
      <c r="E1197" s="8"/>
      <c r="F1197" s="5"/>
    </row>
    <row r="1198" spans="2:6">
      <c r="B1198" s="1"/>
      <c r="C1198" s="1"/>
      <c r="D1198" s="1"/>
      <c r="E1198" s="8"/>
      <c r="F1198" s="5"/>
    </row>
    <row r="1199" spans="2:6">
      <c r="B1199" s="1"/>
      <c r="C1199" s="1"/>
      <c r="D1199" s="1"/>
      <c r="E1199" s="8"/>
      <c r="F1199" s="5"/>
    </row>
    <row r="1200" spans="2:6">
      <c r="B1200" s="1"/>
      <c r="C1200" s="1"/>
      <c r="D1200" s="1"/>
      <c r="E1200" s="8"/>
      <c r="F1200" s="5"/>
    </row>
    <row r="1201" spans="2:6">
      <c r="B1201" s="1"/>
      <c r="C1201" s="1"/>
      <c r="D1201" s="1"/>
      <c r="E1201" s="8"/>
      <c r="F1201" s="5"/>
    </row>
    <row r="1202" spans="2:6">
      <c r="B1202" s="1"/>
      <c r="C1202" s="1"/>
      <c r="D1202" s="1"/>
      <c r="E1202" s="8"/>
      <c r="F1202" s="5"/>
    </row>
    <row r="1203" spans="2:6">
      <c r="B1203" s="1"/>
      <c r="C1203" s="1"/>
      <c r="D1203" s="1"/>
      <c r="E1203" s="8"/>
      <c r="F1203" s="5"/>
    </row>
    <row r="1204" spans="2:6">
      <c r="B1204" s="1"/>
      <c r="C1204" s="1"/>
      <c r="D1204" s="1"/>
      <c r="E1204" s="8"/>
      <c r="F1204" s="5"/>
    </row>
    <row r="1205" spans="2:6">
      <c r="B1205" s="1"/>
      <c r="C1205" s="1"/>
      <c r="D1205" s="1"/>
      <c r="E1205" s="8"/>
      <c r="F1205" s="5"/>
    </row>
    <row r="1206" spans="2:6">
      <c r="B1206" s="1"/>
      <c r="C1206" s="1"/>
      <c r="D1206" s="1"/>
      <c r="E1206" s="8"/>
      <c r="F1206" s="5"/>
    </row>
    <row r="1207" spans="2:6">
      <c r="B1207" s="1"/>
      <c r="C1207" s="1"/>
      <c r="D1207" s="1"/>
      <c r="E1207" s="8"/>
      <c r="F1207" s="5"/>
    </row>
    <row r="1208" spans="2:6">
      <c r="B1208" s="1"/>
      <c r="C1208" s="1"/>
      <c r="D1208" s="1"/>
      <c r="E1208" s="8"/>
      <c r="F1208" s="5"/>
    </row>
    <row r="1209" spans="2:6">
      <c r="B1209" s="1"/>
      <c r="C1209" s="1"/>
      <c r="D1209" s="1"/>
      <c r="E1209" s="8"/>
      <c r="F1209" s="5"/>
    </row>
    <row r="1210" spans="2:6">
      <c r="B1210" s="1"/>
      <c r="C1210" s="1"/>
      <c r="D1210" s="1"/>
      <c r="E1210" s="8"/>
      <c r="F1210" s="5"/>
    </row>
    <row r="1211" spans="2:6">
      <c r="B1211" s="1"/>
      <c r="C1211" s="1"/>
      <c r="D1211" s="1"/>
      <c r="E1211" s="8"/>
      <c r="F1211" s="5"/>
    </row>
    <row r="1212" spans="2:6">
      <c r="B1212" s="1"/>
      <c r="C1212" s="1"/>
      <c r="D1212" s="1"/>
      <c r="E1212" s="8"/>
      <c r="F1212" s="5"/>
    </row>
    <row r="1213" spans="2:6">
      <c r="B1213" s="1"/>
      <c r="C1213" s="1"/>
      <c r="D1213" s="1"/>
      <c r="E1213" s="8"/>
      <c r="F1213" s="5"/>
    </row>
    <row r="1214" spans="2:6">
      <c r="B1214" s="1"/>
      <c r="C1214" s="1"/>
      <c r="D1214" s="1"/>
      <c r="E1214" s="8"/>
      <c r="F1214" s="5"/>
    </row>
    <row r="1215" spans="2:6">
      <c r="B1215" s="1"/>
      <c r="C1215" s="1"/>
      <c r="D1215" s="1"/>
      <c r="E1215" s="8"/>
      <c r="F1215" s="5"/>
    </row>
    <row r="1216" spans="2:6">
      <c r="B1216" s="1"/>
      <c r="C1216" s="1"/>
      <c r="D1216" s="1"/>
      <c r="E1216" s="8"/>
      <c r="F1216" s="5"/>
    </row>
    <row r="1217" spans="2:6">
      <c r="B1217" s="1"/>
      <c r="C1217" s="1"/>
      <c r="D1217" s="1"/>
      <c r="E1217" s="8"/>
      <c r="F1217" s="5"/>
    </row>
    <row r="1218" spans="2:6">
      <c r="B1218" s="1"/>
      <c r="C1218" s="1"/>
      <c r="D1218" s="1"/>
      <c r="E1218" s="8"/>
      <c r="F1218" s="5"/>
    </row>
    <row r="1219" spans="2:6">
      <c r="B1219" s="1"/>
      <c r="C1219" s="1"/>
      <c r="D1219" s="1"/>
      <c r="E1219" s="8"/>
      <c r="F1219" s="5"/>
    </row>
    <row r="1220" spans="2:6">
      <c r="B1220" s="1"/>
      <c r="C1220" s="1"/>
      <c r="D1220" s="1"/>
      <c r="E1220" s="8"/>
      <c r="F1220" s="5"/>
    </row>
    <row r="1221" spans="2:6">
      <c r="B1221" s="1"/>
      <c r="C1221" s="1"/>
      <c r="D1221" s="1"/>
      <c r="E1221" s="8"/>
      <c r="F1221" s="5"/>
    </row>
    <row r="1222" spans="2:6">
      <c r="B1222" s="1"/>
      <c r="C1222" s="1"/>
      <c r="D1222" s="1"/>
      <c r="E1222" s="8"/>
      <c r="F1222" s="5"/>
    </row>
    <row r="1223" spans="2:6">
      <c r="B1223" s="1"/>
      <c r="C1223" s="1"/>
      <c r="D1223" s="1"/>
      <c r="E1223" s="8"/>
      <c r="F1223" s="5"/>
    </row>
    <row r="1224" spans="2:6">
      <c r="B1224" s="1"/>
      <c r="C1224" s="1"/>
      <c r="D1224" s="1"/>
      <c r="E1224" s="8"/>
      <c r="F1224" s="5"/>
    </row>
    <row r="1225" spans="2:6">
      <c r="B1225" s="1"/>
      <c r="C1225" s="1"/>
      <c r="D1225" s="1"/>
      <c r="E1225" s="8"/>
      <c r="F1225" s="5"/>
    </row>
    <row r="1226" spans="2:6">
      <c r="B1226" s="1"/>
      <c r="C1226" s="1"/>
      <c r="D1226" s="1"/>
      <c r="E1226" s="8"/>
      <c r="F1226" s="5"/>
    </row>
    <row r="1227" spans="2:6">
      <c r="B1227" s="1"/>
      <c r="C1227" s="1"/>
      <c r="D1227" s="1"/>
      <c r="E1227" s="8"/>
      <c r="F1227" s="5"/>
    </row>
    <row r="1228" spans="2:6">
      <c r="B1228" s="1"/>
      <c r="C1228" s="1"/>
      <c r="D1228" s="1"/>
      <c r="E1228" s="8"/>
      <c r="F1228" s="5"/>
    </row>
    <row r="1229" spans="2:6">
      <c r="B1229" s="1"/>
      <c r="C1229" s="1"/>
      <c r="D1229" s="1"/>
      <c r="E1229" s="8"/>
      <c r="F1229" s="5"/>
    </row>
    <row r="1230" spans="2:6">
      <c r="B1230" s="1"/>
      <c r="C1230" s="1"/>
      <c r="D1230" s="1"/>
      <c r="E1230" s="8"/>
      <c r="F1230" s="5"/>
    </row>
    <row r="1231" spans="2:6">
      <c r="B1231" s="1"/>
      <c r="C1231" s="1"/>
      <c r="D1231" s="1"/>
      <c r="E1231" s="8"/>
      <c r="F1231" s="5"/>
    </row>
    <row r="1232" spans="2:6">
      <c r="B1232" s="1"/>
      <c r="C1232" s="1"/>
      <c r="D1232" s="1"/>
      <c r="E1232" s="8"/>
      <c r="F1232" s="5"/>
    </row>
    <row r="1233" spans="2:6">
      <c r="B1233" s="1"/>
      <c r="C1233" s="1"/>
      <c r="D1233" s="1"/>
      <c r="E1233" s="8"/>
      <c r="F1233" s="5"/>
    </row>
    <row r="1234" spans="2:6">
      <c r="B1234" s="1"/>
      <c r="C1234" s="1"/>
      <c r="D1234" s="1"/>
      <c r="E1234" s="8"/>
      <c r="F1234" s="5"/>
    </row>
    <row r="1235" spans="2:6">
      <c r="B1235" s="1"/>
      <c r="C1235" s="1"/>
      <c r="D1235" s="1"/>
      <c r="E1235" s="8"/>
      <c r="F1235" s="5"/>
    </row>
    <row r="1236" spans="2:6">
      <c r="B1236" s="1"/>
      <c r="C1236" s="1"/>
      <c r="D1236" s="1"/>
      <c r="E1236" s="8"/>
      <c r="F1236" s="5"/>
    </row>
    <row r="1237" spans="2:6">
      <c r="B1237" s="1"/>
      <c r="C1237" s="1"/>
      <c r="D1237" s="1"/>
      <c r="E1237" s="8"/>
      <c r="F1237" s="5"/>
    </row>
    <row r="1238" spans="2:6">
      <c r="B1238" s="1"/>
      <c r="C1238" s="1"/>
      <c r="D1238" s="1"/>
      <c r="E1238" s="8"/>
      <c r="F1238" s="5"/>
    </row>
    <row r="1239" spans="2:6">
      <c r="B1239" s="1"/>
      <c r="C1239" s="1"/>
      <c r="D1239" s="1"/>
      <c r="E1239" s="8"/>
      <c r="F1239" s="5"/>
    </row>
    <row r="1240" spans="2:6">
      <c r="B1240" s="1"/>
      <c r="C1240" s="1"/>
      <c r="D1240" s="1"/>
      <c r="E1240" s="8"/>
      <c r="F1240" s="5"/>
    </row>
    <row r="1241" spans="2:6">
      <c r="B1241" s="1"/>
      <c r="C1241" s="1"/>
      <c r="D1241" s="1"/>
      <c r="E1241" s="8"/>
      <c r="F1241" s="5"/>
    </row>
    <row r="1242" spans="2:6">
      <c r="B1242" s="1"/>
      <c r="C1242" s="1"/>
      <c r="D1242" s="1"/>
      <c r="E1242" s="8"/>
      <c r="F1242" s="5"/>
    </row>
    <row r="1243" spans="2:6">
      <c r="B1243" s="1"/>
      <c r="C1243" s="1"/>
      <c r="D1243" s="1"/>
      <c r="E1243" s="8"/>
      <c r="F1243" s="5"/>
    </row>
    <row r="1244" spans="2:6">
      <c r="B1244" s="1"/>
      <c r="C1244" s="1"/>
      <c r="D1244" s="1"/>
      <c r="E1244" s="8"/>
      <c r="F1244" s="5"/>
    </row>
    <row r="1245" spans="2:6">
      <c r="B1245" s="1"/>
      <c r="C1245" s="1"/>
      <c r="D1245" s="1"/>
      <c r="E1245" s="8"/>
      <c r="F1245" s="5"/>
    </row>
    <row r="1246" spans="2:6">
      <c r="B1246" s="1"/>
      <c r="C1246" s="1"/>
      <c r="D1246" s="1"/>
      <c r="E1246" s="8"/>
      <c r="F1246" s="5"/>
    </row>
    <row r="1247" spans="2:6">
      <c r="B1247" s="1"/>
      <c r="C1247" s="1"/>
      <c r="D1247" s="1"/>
      <c r="E1247" s="8"/>
      <c r="F1247" s="5"/>
    </row>
    <row r="1248" spans="2:6">
      <c r="B1248" s="1"/>
      <c r="C1248" s="1"/>
      <c r="D1248" s="1"/>
      <c r="E1248" s="8"/>
      <c r="F1248" s="5"/>
    </row>
    <row r="1249" spans="2:6">
      <c r="B1249" s="1"/>
      <c r="C1249" s="1"/>
      <c r="D1249" s="1"/>
      <c r="E1249" s="8"/>
      <c r="F1249" s="5"/>
    </row>
    <row r="1250" spans="2:6">
      <c r="B1250" s="1"/>
      <c r="C1250" s="1"/>
      <c r="D1250" s="1"/>
      <c r="E1250" s="8"/>
      <c r="F1250" s="5"/>
    </row>
    <row r="1251" spans="2:6">
      <c r="B1251" s="1"/>
      <c r="C1251" s="1"/>
      <c r="D1251" s="1"/>
      <c r="E1251" s="8"/>
      <c r="F1251" s="5"/>
    </row>
    <row r="1252" spans="2:6">
      <c r="B1252" s="1"/>
      <c r="C1252" s="1"/>
      <c r="D1252" s="1"/>
      <c r="E1252" s="8"/>
      <c r="F1252" s="5"/>
    </row>
    <row r="1253" spans="2:6">
      <c r="B1253" s="1"/>
      <c r="C1253" s="1"/>
      <c r="D1253" s="1"/>
      <c r="E1253" s="8"/>
      <c r="F1253" s="5"/>
    </row>
    <row r="1254" spans="2:6">
      <c r="B1254" s="1"/>
      <c r="C1254" s="1"/>
      <c r="D1254" s="1"/>
      <c r="E1254" s="8"/>
      <c r="F1254" s="5"/>
    </row>
    <row r="1255" spans="2:6">
      <c r="B1255" s="1"/>
      <c r="C1255" s="1"/>
      <c r="D1255" s="1"/>
      <c r="E1255" s="8"/>
      <c r="F1255" s="5"/>
    </row>
    <row r="1256" spans="2:6">
      <c r="B1256" s="1"/>
      <c r="C1256" s="1"/>
      <c r="D1256" s="1"/>
      <c r="E1256" s="8"/>
      <c r="F1256" s="5"/>
    </row>
    <row r="1257" spans="2:6">
      <c r="B1257" s="1"/>
      <c r="C1257" s="1"/>
      <c r="D1257" s="1"/>
      <c r="E1257" s="8"/>
      <c r="F1257" s="5"/>
    </row>
    <row r="1258" spans="2:6">
      <c r="B1258" s="1"/>
      <c r="C1258" s="1"/>
      <c r="D1258" s="1"/>
      <c r="E1258" s="8"/>
      <c r="F1258" s="5"/>
    </row>
    <row r="1259" spans="2:6">
      <c r="B1259" s="1"/>
      <c r="C1259" s="1"/>
      <c r="D1259" s="1"/>
      <c r="E1259" s="8"/>
      <c r="F1259" s="5"/>
    </row>
    <row r="1260" spans="2:6">
      <c r="B1260" s="1"/>
      <c r="C1260" s="1"/>
      <c r="D1260" s="1"/>
      <c r="E1260" s="8"/>
      <c r="F1260" s="5"/>
    </row>
    <row r="1261" spans="2:6">
      <c r="B1261" s="1"/>
      <c r="C1261" s="1"/>
      <c r="D1261" s="1"/>
      <c r="E1261" s="8"/>
      <c r="F1261" s="5"/>
    </row>
    <row r="1262" spans="2:6">
      <c r="B1262" s="1"/>
      <c r="C1262" s="1"/>
      <c r="D1262" s="1"/>
      <c r="E1262" s="8"/>
      <c r="F1262" s="5"/>
    </row>
    <row r="1263" spans="2:6">
      <c r="B1263" s="1"/>
      <c r="C1263" s="1"/>
      <c r="D1263" s="1"/>
      <c r="E1263" s="8"/>
      <c r="F1263" s="5"/>
    </row>
    <row r="1264" spans="2:6">
      <c r="B1264" s="1"/>
      <c r="C1264" s="1"/>
      <c r="D1264" s="1"/>
      <c r="E1264" s="8"/>
      <c r="F1264" s="5"/>
    </row>
    <row r="1265" spans="2:6">
      <c r="B1265" s="1"/>
      <c r="C1265" s="1"/>
      <c r="D1265" s="1"/>
      <c r="E1265" s="8"/>
      <c r="F1265" s="5"/>
    </row>
    <row r="1266" spans="2:6">
      <c r="B1266" s="1"/>
      <c r="C1266" s="1"/>
      <c r="D1266" s="1"/>
      <c r="E1266" s="8"/>
      <c r="F1266" s="5"/>
    </row>
    <row r="1267" spans="2:6">
      <c r="B1267" s="1"/>
      <c r="C1267" s="1"/>
      <c r="D1267" s="1"/>
      <c r="E1267" s="8"/>
      <c r="F1267" s="5"/>
    </row>
    <row r="1268" spans="2:6">
      <c r="B1268" s="1"/>
      <c r="C1268" s="1"/>
      <c r="D1268" s="1"/>
      <c r="E1268" s="8"/>
      <c r="F1268" s="5"/>
    </row>
    <row r="1269" spans="2:6">
      <c r="B1269" s="1"/>
      <c r="C1269" s="1"/>
      <c r="D1269" s="1"/>
      <c r="E1269" s="8"/>
      <c r="F1269" s="5"/>
    </row>
    <row r="1270" spans="2:6">
      <c r="B1270" s="1"/>
      <c r="C1270" s="1"/>
      <c r="D1270" s="1"/>
      <c r="E1270" s="8"/>
      <c r="F1270" s="5"/>
    </row>
    <row r="1271" spans="2:6">
      <c r="B1271" s="1"/>
      <c r="C1271" s="1"/>
      <c r="D1271" s="1"/>
      <c r="E1271" s="8"/>
      <c r="F1271" s="5"/>
    </row>
    <row r="1272" spans="2:6">
      <c r="B1272" s="1"/>
      <c r="C1272" s="1"/>
      <c r="D1272" s="1"/>
      <c r="E1272" s="8"/>
      <c r="F1272" s="5"/>
    </row>
    <row r="1273" spans="2:6">
      <c r="B1273" s="1"/>
      <c r="C1273" s="1"/>
      <c r="D1273" s="1"/>
      <c r="E1273" s="8"/>
      <c r="F1273" s="5"/>
    </row>
    <row r="1274" spans="2:6">
      <c r="B1274" s="1"/>
      <c r="C1274" s="1"/>
      <c r="D1274" s="1"/>
      <c r="E1274" s="8"/>
      <c r="F1274" s="5"/>
    </row>
    <row r="1275" spans="2:6">
      <c r="B1275" s="1"/>
      <c r="C1275" s="1"/>
      <c r="D1275" s="1"/>
      <c r="E1275" s="8"/>
      <c r="F1275" s="5"/>
    </row>
    <row r="1276" spans="2:6">
      <c r="B1276" s="1"/>
      <c r="C1276" s="1"/>
      <c r="D1276" s="1"/>
      <c r="E1276" s="8"/>
      <c r="F1276" s="5"/>
    </row>
    <row r="1277" spans="2:6">
      <c r="B1277" s="1"/>
      <c r="C1277" s="1"/>
      <c r="D1277" s="1"/>
      <c r="E1277" s="8"/>
      <c r="F1277" s="5"/>
    </row>
    <row r="1278" spans="2:6">
      <c r="B1278" s="1"/>
      <c r="C1278" s="1"/>
      <c r="D1278" s="1"/>
      <c r="E1278" s="8"/>
      <c r="F1278" s="5"/>
    </row>
    <row r="1279" spans="2:6">
      <c r="B1279" s="1"/>
      <c r="C1279" s="1"/>
      <c r="D1279" s="1"/>
      <c r="E1279" s="8"/>
      <c r="F1279" s="5"/>
    </row>
    <row r="1280" spans="2:6">
      <c r="B1280" s="1"/>
      <c r="C1280" s="1"/>
      <c r="D1280" s="1"/>
      <c r="E1280" s="8"/>
      <c r="F1280" s="5"/>
    </row>
    <row r="1281" spans="2:6">
      <c r="B1281" s="1"/>
      <c r="C1281" s="1"/>
      <c r="D1281" s="1"/>
      <c r="E1281" s="8"/>
      <c r="F1281" s="5"/>
    </row>
    <row r="1282" spans="2:6">
      <c r="B1282" s="1"/>
      <c r="C1282" s="1"/>
      <c r="D1282" s="1"/>
      <c r="E1282" s="8"/>
      <c r="F1282" s="5"/>
    </row>
    <row r="1283" spans="2:6">
      <c r="B1283" s="1"/>
      <c r="C1283" s="1"/>
      <c r="D1283" s="1"/>
      <c r="E1283" s="8"/>
      <c r="F1283" s="5"/>
    </row>
    <row r="1284" spans="2:6">
      <c r="B1284" s="1"/>
      <c r="C1284" s="1"/>
      <c r="D1284" s="1"/>
      <c r="E1284" s="8"/>
      <c r="F1284" s="5"/>
    </row>
    <row r="1285" spans="2:6">
      <c r="B1285" s="1"/>
      <c r="C1285" s="1"/>
      <c r="D1285" s="1"/>
      <c r="E1285" s="8"/>
      <c r="F1285" s="5"/>
    </row>
    <row r="1286" spans="2:6">
      <c r="B1286" s="1"/>
      <c r="C1286" s="1"/>
      <c r="D1286" s="1"/>
      <c r="E1286" s="8"/>
      <c r="F1286" s="5"/>
    </row>
    <row r="1287" spans="2:6">
      <c r="B1287" s="1"/>
      <c r="C1287" s="1"/>
      <c r="D1287" s="1"/>
      <c r="E1287" s="8"/>
      <c r="F1287" s="5"/>
    </row>
    <row r="1288" spans="2:6">
      <c r="B1288" s="1"/>
      <c r="C1288" s="1"/>
      <c r="D1288" s="1"/>
      <c r="E1288" s="8"/>
      <c r="F1288" s="5"/>
    </row>
    <row r="1289" spans="2:6">
      <c r="B1289" s="1"/>
      <c r="C1289" s="1"/>
      <c r="D1289" s="1"/>
      <c r="E1289" s="8"/>
      <c r="F1289" s="5"/>
    </row>
    <row r="1290" spans="2:6">
      <c r="B1290" s="1"/>
      <c r="C1290" s="1"/>
      <c r="D1290" s="1"/>
      <c r="E1290" s="8"/>
      <c r="F1290" s="5"/>
    </row>
    <row r="1291" spans="2:6">
      <c r="B1291" s="1"/>
      <c r="C1291" s="1"/>
      <c r="D1291" s="1"/>
      <c r="E1291" s="8"/>
      <c r="F1291" s="5"/>
    </row>
    <row r="1292" spans="2:6">
      <c r="B1292" s="1"/>
      <c r="C1292" s="1"/>
      <c r="D1292" s="1"/>
      <c r="E1292" s="8"/>
      <c r="F1292" s="5"/>
    </row>
    <row r="1293" spans="2:6">
      <c r="B1293" s="1"/>
      <c r="C1293" s="1"/>
      <c r="D1293" s="1"/>
      <c r="E1293" s="8"/>
      <c r="F1293" s="5"/>
    </row>
    <row r="1294" spans="2:6">
      <c r="B1294" s="1"/>
      <c r="C1294" s="1"/>
      <c r="D1294" s="1"/>
      <c r="E1294" s="8"/>
      <c r="F1294" s="5"/>
    </row>
    <row r="1295" spans="2:6">
      <c r="B1295" s="1"/>
      <c r="C1295" s="1"/>
      <c r="D1295" s="1"/>
      <c r="E1295" s="8"/>
      <c r="F1295" s="5"/>
    </row>
    <row r="1296" spans="2:6">
      <c r="B1296" s="1"/>
      <c r="C1296" s="1"/>
      <c r="D1296" s="1"/>
      <c r="E1296" s="8"/>
      <c r="F1296" s="5"/>
    </row>
    <row r="1297" spans="2:6">
      <c r="B1297" s="1"/>
      <c r="C1297" s="1"/>
      <c r="D1297" s="1"/>
      <c r="E1297" s="8"/>
      <c r="F1297" s="5"/>
    </row>
    <row r="1298" spans="2:6">
      <c r="B1298" s="1"/>
      <c r="C1298" s="1"/>
      <c r="D1298" s="1"/>
      <c r="E1298" s="8"/>
      <c r="F1298" s="5"/>
    </row>
    <row r="1299" spans="2:6">
      <c r="B1299" s="1"/>
      <c r="C1299" s="1"/>
      <c r="D1299" s="1"/>
      <c r="E1299" s="8"/>
      <c r="F1299" s="5"/>
    </row>
    <row r="1300" spans="2:6">
      <c r="B1300" s="1"/>
      <c r="C1300" s="1"/>
      <c r="D1300" s="1"/>
      <c r="E1300" s="8"/>
      <c r="F1300" s="5"/>
    </row>
    <row r="1301" spans="2:6">
      <c r="B1301" s="1"/>
      <c r="C1301" s="1"/>
      <c r="D1301" s="1"/>
      <c r="E1301" s="8"/>
      <c r="F1301" s="5"/>
    </row>
    <row r="1302" spans="2:6">
      <c r="B1302" s="1"/>
      <c r="C1302" s="1"/>
      <c r="D1302" s="1"/>
      <c r="E1302" s="8"/>
      <c r="F1302" s="5"/>
    </row>
    <row r="1303" spans="2:6">
      <c r="B1303" s="1"/>
      <c r="C1303" s="1"/>
      <c r="D1303" s="1"/>
      <c r="E1303" s="8"/>
      <c r="F1303" s="5"/>
    </row>
    <row r="1304" spans="2:6">
      <c r="B1304" s="1"/>
      <c r="C1304" s="1"/>
      <c r="D1304" s="1"/>
      <c r="E1304" s="8"/>
      <c r="F1304" s="5"/>
    </row>
    <row r="1305" spans="2:6">
      <c r="B1305" s="1"/>
      <c r="C1305" s="1"/>
      <c r="D1305" s="1"/>
      <c r="E1305" s="8"/>
      <c r="F1305" s="5"/>
    </row>
    <row r="1306" spans="2:6">
      <c r="B1306" s="1"/>
      <c r="C1306" s="1"/>
      <c r="D1306" s="1"/>
      <c r="E1306" s="8"/>
      <c r="F1306" s="5"/>
    </row>
    <row r="1307" spans="2:6">
      <c r="B1307" s="1"/>
      <c r="C1307" s="1"/>
      <c r="D1307" s="1"/>
      <c r="E1307" s="8"/>
      <c r="F1307" s="5"/>
    </row>
    <row r="1308" spans="2:6">
      <c r="B1308" s="1"/>
      <c r="C1308" s="1"/>
      <c r="D1308" s="1"/>
      <c r="E1308" s="8"/>
      <c r="F1308" s="5"/>
    </row>
    <row r="1309" spans="2:6">
      <c r="B1309" s="1"/>
      <c r="C1309" s="1"/>
      <c r="D1309" s="1"/>
      <c r="E1309" s="8"/>
      <c r="F1309" s="5"/>
    </row>
    <row r="1310" spans="2:6">
      <c r="B1310" s="1"/>
      <c r="C1310" s="1"/>
      <c r="D1310" s="1"/>
      <c r="E1310" s="8"/>
      <c r="F1310" s="5"/>
    </row>
    <row r="1311" spans="2:6">
      <c r="B1311" s="1"/>
      <c r="C1311" s="1"/>
      <c r="D1311" s="1"/>
      <c r="E1311" s="8"/>
      <c r="F1311" s="5"/>
    </row>
    <row r="1312" spans="2:6">
      <c r="B1312" s="1"/>
      <c r="C1312" s="1"/>
      <c r="D1312" s="1"/>
      <c r="E1312" s="8"/>
      <c r="F1312" s="5"/>
    </row>
    <row r="1313" spans="2:6">
      <c r="B1313" s="1"/>
      <c r="C1313" s="1"/>
      <c r="D1313" s="1"/>
      <c r="E1313" s="8"/>
      <c r="F1313" s="5"/>
    </row>
    <row r="1314" spans="2:6">
      <c r="B1314" s="1"/>
      <c r="C1314" s="1"/>
      <c r="D1314" s="1"/>
      <c r="E1314" s="8"/>
      <c r="F1314" s="5"/>
    </row>
    <row r="1315" spans="2:6">
      <c r="B1315" s="1"/>
      <c r="C1315" s="1"/>
      <c r="D1315" s="1"/>
      <c r="E1315" s="8"/>
      <c r="F1315" s="5"/>
    </row>
    <row r="1316" spans="2:6">
      <c r="B1316" s="1"/>
      <c r="C1316" s="1"/>
      <c r="D1316" s="1"/>
      <c r="E1316" s="8"/>
      <c r="F1316" s="5"/>
    </row>
    <row r="1317" spans="2:6">
      <c r="B1317" s="1"/>
      <c r="C1317" s="1"/>
      <c r="D1317" s="1"/>
      <c r="E1317" s="8"/>
      <c r="F1317" s="5"/>
    </row>
    <row r="1318" spans="2:6">
      <c r="B1318" s="1"/>
      <c r="C1318" s="1"/>
      <c r="D1318" s="1"/>
      <c r="E1318" s="8"/>
      <c r="F1318" s="5"/>
    </row>
    <row r="1319" spans="2:6">
      <c r="B1319" s="1"/>
      <c r="C1319" s="1"/>
      <c r="D1319" s="1"/>
      <c r="E1319" s="8"/>
      <c r="F1319" s="5"/>
    </row>
    <row r="1320" spans="2:6">
      <c r="B1320" s="1"/>
      <c r="C1320" s="1"/>
      <c r="D1320" s="1"/>
      <c r="E1320" s="8"/>
      <c r="F1320" s="5"/>
    </row>
    <row r="1321" spans="2:6">
      <c r="B1321" s="1"/>
      <c r="C1321" s="1"/>
      <c r="D1321" s="1"/>
      <c r="E1321" s="8"/>
      <c r="F1321" s="5"/>
    </row>
    <row r="1322" spans="2:6">
      <c r="B1322" s="1"/>
      <c r="C1322" s="1"/>
      <c r="D1322" s="1"/>
      <c r="E1322" s="8"/>
      <c r="F1322" s="5"/>
    </row>
    <row r="1323" spans="2:6">
      <c r="B1323" s="1"/>
      <c r="C1323" s="1"/>
      <c r="D1323" s="1"/>
      <c r="E1323" s="8"/>
      <c r="F1323" s="5"/>
    </row>
    <row r="1324" spans="2:6">
      <c r="B1324" s="1"/>
      <c r="C1324" s="1"/>
      <c r="D1324" s="1"/>
      <c r="E1324" s="8"/>
      <c r="F1324" s="5"/>
    </row>
    <row r="1325" spans="2:6">
      <c r="B1325" s="1"/>
      <c r="C1325" s="1"/>
      <c r="D1325" s="1"/>
      <c r="E1325" s="8"/>
      <c r="F1325" s="5"/>
    </row>
    <row r="1326" spans="2:6">
      <c r="B1326" s="1"/>
      <c r="C1326" s="1"/>
      <c r="D1326" s="1"/>
      <c r="E1326" s="8"/>
      <c r="F1326" s="5"/>
    </row>
    <row r="1327" spans="2:6">
      <c r="B1327" s="1"/>
      <c r="C1327" s="1"/>
      <c r="D1327" s="1"/>
      <c r="E1327" s="8"/>
      <c r="F1327" s="5"/>
    </row>
    <row r="1328" spans="2:6">
      <c r="B1328" s="1"/>
      <c r="C1328" s="1"/>
      <c r="D1328" s="1"/>
      <c r="E1328" s="8"/>
      <c r="F1328" s="5"/>
    </row>
    <row r="1329" spans="2:6">
      <c r="B1329" s="1"/>
      <c r="C1329" s="1"/>
      <c r="D1329" s="1"/>
      <c r="E1329" s="8"/>
      <c r="F1329" s="5"/>
    </row>
    <row r="1330" spans="2:6">
      <c r="B1330" s="1"/>
      <c r="C1330" s="1"/>
      <c r="D1330" s="1"/>
      <c r="E1330" s="8"/>
      <c r="F1330" s="5"/>
    </row>
    <row r="1331" spans="2:6">
      <c r="B1331" s="1"/>
      <c r="C1331" s="1"/>
      <c r="D1331" s="1"/>
      <c r="E1331" s="8"/>
      <c r="F1331" s="5"/>
    </row>
    <row r="1332" spans="2:6">
      <c r="B1332" s="1"/>
      <c r="C1332" s="1"/>
      <c r="D1332" s="1"/>
      <c r="E1332" s="8"/>
      <c r="F1332" s="5"/>
    </row>
    <row r="1333" spans="2:6">
      <c r="B1333" s="1"/>
      <c r="C1333" s="1"/>
      <c r="D1333" s="1"/>
      <c r="E1333" s="8"/>
      <c r="F1333" s="5"/>
    </row>
    <row r="1334" spans="2:6">
      <c r="B1334" s="1"/>
      <c r="C1334" s="1"/>
      <c r="D1334" s="1"/>
      <c r="E1334" s="8"/>
      <c r="F1334" s="5"/>
    </row>
    <row r="1335" spans="2:6">
      <c r="B1335" s="1"/>
      <c r="C1335" s="1"/>
      <c r="D1335" s="1"/>
      <c r="E1335" s="8"/>
      <c r="F1335" s="5"/>
    </row>
    <row r="1336" spans="2:6">
      <c r="B1336" s="1"/>
      <c r="C1336" s="1"/>
      <c r="D1336" s="1"/>
      <c r="E1336" s="8"/>
      <c r="F1336" s="5"/>
    </row>
    <row r="1337" spans="2:6">
      <c r="B1337" s="1"/>
      <c r="C1337" s="1"/>
      <c r="D1337" s="1"/>
      <c r="E1337" s="8"/>
      <c r="F1337" s="5"/>
    </row>
    <row r="1338" spans="2:6">
      <c r="B1338" s="1"/>
      <c r="C1338" s="1"/>
      <c r="D1338" s="1"/>
      <c r="E1338" s="8"/>
      <c r="F1338" s="5"/>
    </row>
    <row r="1339" spans="2:6">
      <c r="B1339" s="1"/>
      <c r="C1339" s="1"/>
      <c r="D1339" s="1"/>
      <c r="E1339" s="8"/>
      <c r="F1339" s="5"/>
    </row>
    <row r="1340" spans="2:6">
      <c r="B1340" s="1"/>
      <c r="C1340" s="1"/>
      <c r="D1340" s="1"/>
      <c r="E1340" s="8"/>
      <c r="F1340" s="5"/>
    </row>
    <row r="1341" spans="2:6">
      <c r="B1341" s="1"/>
      <c r="C1341" s="1"/>
      <c r="D1341" s="1"/>
      <c r="E1341" s="8"/>
      <c r="F1341" s="5"/>
    </row>
    <row r="1342" spans="2:6">
      <c r="B1342" s="1"/>
      <c r="C1342" s="1"/>
      <c r="D1342" s="1"/>
      <c r="E1342" s="8"/>
      <c r="F1342" s="5"/>
    </row>
    <row r="1343" spans="2:6">
      <c r="B1343" s="1"/>
      <c r="C1343" s="1"/>
      <c r="D1343" s="1"/>
      <c r="E1343" s="8"/>
      <c r="F1343" s="5"/>
    </row>
    <row r="1344" spans="2:6">
      <c r="B1344" s="1"/>
      <c r="C1344" s="1"/>
      <c r="D1344" s="1"/>
      <c r="E1344" s="8"/>
      <c r="F1344" s="5"/>
    </row>
    <row r="1345" spans="2:6">
      <c r="B1345" s="1"/>
      <c r="C1345" s="1"/>
      <c r="D1345" s="1"/>
      <c r="E1345" s="8"/>
      <c r="F1345" s="5"/>
    </row>
    <row r="1346" spans="2:6">
      <c r="B1346" s="1"/>
      <c r="C1346" s="1"/>
      <c r="D1346" s="1"/>
      <c r="E1346" s="8"/>
      <c r="F1346" s="5"/>
    </row>
    <row r="1347" spans="2:6">
      <c r="B1347" s="1"/>
      <c r="C1347" s="1"/>
      <c r="D1347" s="1"/>
      <c r="E1347" s="8"/>
      <c r="F1347" s="5"/>
    </row>
    <row r="1348" spans="2:6">
      <c r="B1348" s="1"/>
      <c r="C1348" s="1"/>
      <c r="D1348" s="1"/>
      <c r="E1348" s="8"/>
      <c r="F1348" s="5"/>
    </row>
    <row r="1349" spans="2:6">
      <c r="B1349" s="1"/>
      <c r="C1349" s="1"/>
      <c r="D1349" s="1"/>
      <c r="E1349" s="8"/>
      <c r="F1349" s="5"/>
    </row>
    <row r="1350" spans="2:6">
      <c r="B1350" s="1"/>
      <c r="C1350" s="1"/>
      <c r="D1350" s="1"/>
      <c r="E1350" s="8"/>
      <c r="F1350" s="5"/>
    </row>
    <row r="1351" spans="2:6">
      <c r="B1351" s="1"/>
      <c r="C1351" s="1"/>
      <c r="D1351" s="1"/>
      <c r="E1351" s="8"/>
      <c r="F1351" s="5"/>
    </row>
    <row r="1352" spans="2:6">
      <c r="B1352" s="1"/>
      <c r="C1352" s="1"/>
      <c r="D1352" s="1"/>
      <c r="E1352" s="8"/>
      <c r="F1352" s="5"/>
    </row>
    <row r="1353" spans="2:6">
      <c r="B1353" s="1"/>
      <c r="C1353" s="1"/>
      <c r="D1353" s="1"/>
      <c r="E1353" s="8"/>
      <c r="F1353" s="5"/>
    </row>
    <row r="1354" spans="2:6">
      <c r="B1354" s="1"/>
      <c r="C1354" s="1"/>
      <c r="D1354" s="1"/>
      <c r="E1354" s="8"/>
      <c r="F1354" s="5"/>
    </row>
    <row r="1355" spans="2:6">
      <c r="B1355" s="1"/>
      <c r="C1355" s="1"/>
      <c r="D1355" s="1"/>
      <c r="E1355" s="8"/>
      <c r="F1355" s="5"/>
    </row>
    <row r="1356" spans="2:6">
      <c r="B1356" s="1"/>
      <c r="C1356" s="1"/>
      <c r="D1356" s="1"/>
      <c r="E1356" s="8"/>
      <c r="F1356" s="5"/>
    </row>
    <row r="1357" spans="2:6">
      <c r="B1357" s="1"/>
      <c r="C1357" s="1"/>
      <c r="D1357" s="1"/>
      <c r="E1357" s="8"/>
      <c r="F1357" s="5"/>
    </row>
    <row r="1358" spans="2:6">
      <c r="B1358" s="1"/>
      <c r="C1358" s="1"/>
      <c r="D1358" s="1"/>
      <c r="E1358" s="8"/>
      <c r="F1358" s="5"/>
    </row>
    <row r="1359" spans="2:6">
      <c r="B1359" s="1"/>
      <c r="C1359" s="1"/>
      <c r="D1359" s="1"/>
      <c r="E1359" s="8"/>
      <c r="F1359" s="5"/>
    </row>
    <row r="1360" spans="2:6">
      <c r="B1360" s="1"/>
      <c r="C1360" s="1"/>
      <c r="D1360" s="1"/>
      <c r="E1360" s="8"/>
      <c r="F1360" s="5"/>
    </row>
    <row r="1361" spans="2:6">
      <c r="B1361" s="1"/>
      <c r="C1361" s="1"/>
      <c r="D1361" s="1"/>
      <c r="E1361" s="8"/>
      <c r="F1361" s="5"/>
    </row>
    <row r="1362" spans="2:6">
      <c r="B1362" s="1"/>
      <c r="C1362" s="1"/>
      <c r="D1362" s="1"/>
      <c r="E1362" s="8"/>
      <c r="F1362" s="5"/>
    </row>
    <row r="1363" spans="2:6">
      <c r="B1363" s="1"/>
      <c r="C1363" s="1"/>
      <c r="D1363" s="1"/>
      <c r="E1363" s="8"/>
      <c r="F1363" s="5"/>
    </row>
    <row r="1364" spans="2:6">
      <c r="B1364" s="1"/>
      <c r="C1364" s="1"/>
      <c r="D1364" s="1"/>
      <c r="E1364" s="8"/>
      <c r="F1364" s="5"/>
    </row>
    <row r="1365" spans="2:6">
      <c r="B1365" s="1"/>
      <c r="C1365" s="1"/>
      <c r="D1365" s="1"/>
      <c r="E1365" s="8"/>
      <c r="F1365" s="5"/>
    </row>
    <row r="1366" spans="2:6">
      <c r="B1366" s="1"/>
      <c r="C1366" s="1"/>
      <c r="D1366" s="1"/>
      <c r="E1366" s="8"/>
      <c r="F1366" s="5"/>
    </row>
    <row r="1367" spans="2:6">
      <c r="B1367" s="1"/>
      <c r="C1367" s="1"/>
      <c r="D1367" s="1"/>
      <c r="E1367" s="8"/>
      <c r="F1367" s="5"/>
    </row>
    <row r="1368" spans="2:6">
      <c r="B1368" s="1"/>
      <c r="C1368" s="1"/>
      <c r="D1368" s="1"/>
      <c r="E1368" s="8"/>
      <c r="F1368" s="5"/>
    </row>
    <row r="1369" spans="2:6">
      <c r="B1369" s="1"/>
      <c r="C1369" s="1"/>
      <c r="D1369" s="1"/>
      <c r="E1369" s="8"/>
      <c r="F1369" s="5"/>
    </row>
    <row r="1370" spans="2:6">
      <c r="B1370" s="1"/>
      <c r="C1370" s="1"/>
      <c r="D1370" s="1"/>
      <c r="E1370" s="8"/>
      <c r="F1370" s="5"/>
    </row>
    <row r="1371" spans="2:6">
      <c r="B1371" s="1"/>
      <c r="C1371" s="1"/>
      <c r="D1371" s="1"/>
      <c r="E1371" s="8"/>
      <c r="F1371" s="5"/>
    </row>
    <row r="1372" spans="2:6">
      <c r="B1372" s="1"/>
      <c r="C1372" s="1"/>
      <c r="D1372" s="1"/>
      <c r="E1372" s="8"/>
      <c r="F1372" s="5"/>
    </row>
    <row r="1373" spans="2:6">
      <c r="B1373" s="1"/>
      <c r="C1373" s="1"/>
      <c r="D1373" s="1"/>
      <c r="E1373" s="8"/>
      <c r="F1373" s="5"/>
    </row>
    <row r="1374" spans="2:6">
      <c r="B1374" s="1"/>
      <c r="C1374" s="1"/>
      <c r="D1374" s="1"/>
      <c r="E1374" s="8"/>
      <c r="F1374" s="5"/>
    </row>
    <row r="1375" spans="2:6">
      <c r="B1375" s="1"/>
      <c r="C1375" s="1"/>
      <c r="D1375" s="1"/>
      <c r="E1375" s="8"/>
      <c r="F1375" s="5"/>
    </row>
    <row r="1376" spans="2:6">
      <c r="B1376" s="1"/>
      <c r="C1376" s="1"/>
      <c r="D1376" s="1"/>
      <c r="E1376" s="8"/>
      <c r="F1376" s="5"/>
    </row>
    <row r="1377" spans="2:6">
      <c r="B1377" s="1"/>
      <c r="C1377" s="1"/>
      <c r="D1377" s="1"/>
      <c r="E1377" s="8"/>
      <c r="F1377" s="5"/>
    </row>
    <row r="1378" spans="2:6">
      <c r="B1378" s="1"/>
      <c r="C1378" s="1"/>
      <c r="D1378" s="1"/>
      <c r="E1378" s="8"/>
      <c r="F1378" s="5"/>
    </row>
    <row r="1379" spans="2:6">
      <c r="B1379" s="1"/>
      <c r="C1379" s="1"/>
      <c r="D1379" s="1"/>
      <c r="E1379" s="8"/>
      <c r="F1379" s="5"/>
    </row>
    <row r="1380" spans="2:6">
      <c r="B1380" s="1"/>
      <c r="C1380" s="1"/>
      <c r="D1380" s="1"/>
      <c r="E1380" s="8"/>
      <c r="F1380" s="5"/>
    </row>
    <row r="1381" spans="2:6">
      <c r="B1381" s="1"/>
      <c r="C1381" s="1"/>
      <c r="D1381" s="1"/>
      <c r="E1381" s="8"/>
      <c r="F1381" s="5"/>
    </row>
    <row r="1382" spans="2:6">
      <c r="B1382" s="1"/>
      <c r="C1382" s="1"/>
      <c r="D1382" s="1"/>
      <c r="E1382" s="8"/>
      <c r="F1382" s="5"/>
    </row>
    <row r="1383" spans="2:6">
      <c r="B1383" s="1"/>
      <c r="C1383" s="1"/>
      <c r="D1383" s="1"/>
      <c r="E1383" s="8"/>
      <c r="F1383" s="5"/>
    </row>
    <row r="1384" spans="2:6">
      <c r="B1384" s="1"/>
      <c r="C1384" s="1"/>
      <c r="D1384" s="1"/>
      <c r="E1384" s="8"/>
      <c r="F1384" s="5"/>
    </row>
    <row r="1385" spans="2:6">
      <c r="B1385" s="1"/>
      <c r="C1385" s="1"/>
      <c r="D1385" s="1"/>
      <c r="E1385" s="8"/>
      <c r="F1385" s="5"/>
    </row>
    <row r="1386" spans="2:6">
      <c r="B1386" s="1"/>
      <c r="C1386" s="1"/>
      <c r="D1386" s="1"/>
      <c r="E1386" s="8"/>
      <c r="F1386" s="5"/>
    </row>
    <row r="1387" spans="2:6">
      <c r="B1387" s="1"/>
      <c r="C1387" s="1"/>
      <c r="D1387" s="1"/>
      <c r="E1387" s="8"/>
      <c r="F1387" s="5"/>
    </row>
    <row r="1388" spans="2:6">
      <c r="B1388" s="1"/>
      <c r="C1388" s="1"/>
      <c r="D1388" s="1"/>
      <c r="E1388" s="8"/>
      <c r="F1388" s="5"/>
    </row>
    <row r="1389" spans="2:6">
      <c r="B1389" s="1"/>
      <c r="C1389" s="1"/>
      <c r="D1389" s="1"/>
      <c r="E1389" s="8"/>
      <c r="F1389" s="5"/>
    </row>
    <row r="1390" spans="2:6">
      <c r="B1390" s="1"/>
      <c r="C1390" s="1"/>
      <c r="D1390" s="1"/>
      <c r="E1390" s="8"/>
      <c r="F1390" s="5"/>
    </row>
    <row r="1391" spans="2:6">
      <c r="B1391" s="1"/>
      <c r="C1391" s="1"/>
      <c r="D1391" s="1"/>
      <c r="E1391" s="8"/>
      <c r="F1391" s="5"/>
    </row>
    <row r="1392" spans="2:6">
      <c r="B1392" s="1"/>
      <c r="C1392" s="1"/>
      <c r="D1392" s="1"/>
      <c r="E1392" s="8"/>
      <c r="F1392" s="5"/>
    </row>
    <row r="1393" spans="2:6">
      <c r="B1393" s="1"/>
      <c r="C1393" s="1"/>
      <c r="D1393" s="1"/>
      <c r="E1393" s="8"/>
      <c r="F1393" s="5"/>
    </row>
    <row r="1394" spans="2:6">
      <c r="B1394" s="1"/>
      <c r="C1394" s="1"/>
      <c r="D1394" s="1"/>
      <c r="E1394" s="8"/>
      <c r="F1394" s="5"/>
    </row>
    <row r="1395" spans="2:6">
      <c r="B1395" s="1"/>
      <c r="C1395" s="1"/>
      <c r="D1395" s="1"/>
      <c r="E1395" s="8"/>
      <c r="F1395" s="5"/>
    </row>
    <row r="1396" spans="2:6">
      <c r="B1396" s="1"/>
      <c r="C1396" s="1"/>
      <c r="D1396" s="1"/>
      <c r="E1396" s="8"/>
      <c r="F1396" s="5"/>
    </row>
    <row r="1397" spans="2:6">
      <c r="B1397" s="1"/>
      <c r="C1397" s="1"/>
      <c r="D1397" s="1"/>
      <c r="E1397" s="8"/>
      <c r="F1397" s="5"/>
    </row>
    <row r="1398" spans="2:6">
      <c r="B1398" s="1"/>
      <c r="C1398" s="1"/>
      <c r="D1398" s="1"/>
      <c r="E1398" s="8"/>
      <c r="F1398" s="5"/>
    </row>
    <row r="1399" spans="2:6">
      <c r="B1399" s="1"/>
      <c r="C1399" s="1"/>
      <c r="D1399" s="1"/>
      <c r="E1399" s="8"/>
      <c r="F1399" s="5"/>
    </row>
    <row r="1400" spans="2:6">
      <c r="B1400" s="1"/>
      <c r="C1400" s="1"/>
      <c r="D1400" s="1"/>
      <c r="E1400" s="8"/>
      <c r="F1400" s="5"/>
    </row>
    <row r="1401" spans="2:6">
      <c r="B1401" s="1"/>
      <c r="C1401" s="1"/>
      <c r="D1401" s="1"/>
      <c r="E1401" s="8"/>
      <c r="F1401" s="5"/>
    </row>
    <row r="1402" spans="2:6">
      <c r="B1402" s="1"/>
      <c r="C1402" s="1"/>
      <c r="D1402" s="1"/>
      <c r="E1402" s="8"/>
      <c r="F1402" s="5"/>
    </row>
    <row r="1403" spans="2:6">
      <c r="B1403" s="1"/>
      <c r="C1403" s="1"/>
      <c r="D1403" s="1"/>
      <c r="E1403" s="8"/>
      <c r="F1403" s="5"/>
    </row>
    <row r="1404" spans="2:6">
      <c r="B1404" s="1"/>
      <c r="C1404" s="1"/>
      <c r="D1404" s="1"/>
      <c r="E1404" s="8"/>
      <c r="F1404" s="5"/>
    </row>
    <row r="1405" spans="2:6">
      <c r="B1405" s="1"/>
      <c r="C1405" s="1"/>
      <c r="D1405" s="1"/>
      <c r="E1405" s="8"/>
      <c r="F1405" s="5"/>
    </row>
    <row r="1406" spans="2:6">
      <c r="B1406" s="1"/>
      <c r="C1406" s="1"/>
      <c r="D1406" s="1"/>
      <c r="E1406" s="8"/>
      <c r="F1406" s="5"/>
    </row>
    <row r="1407" spans="2:6">
      <c r="B1407" s="1"/>
      <c r="C1407" s="1"/>
      <c r="D1407" s="1"/>
      <c r="E1407" s="8"/>
      <c r="F1407" s="5"/>
    </row>
    <row r="1408" spans="2:6">
      <c r="B1408" s="1"/>
      <c r="C1408" s="1"/>
      <c r="D1408" s="1"/>
      <c r="E1408" s="8"/>
      <c r="F1408" s="5"/>
    </row>
    <row r="1409" spans="2:6">
      <c r="B1409" s="1"/>
      <c r="C1409" s="1"/>
      <c r="D1409" s="1"/>
      <c r="E1409" s="8"/>
      <c r="F1409" s="5"/>
    </row>
    <row r="1410" spans="2:6">
      <c r="B1410" s="1"/>
      <c r="C1410" s="1"/>
      <c r="D1410" s="1"/>
      <c r="E1410" s="8"/>
      <c r="F1410" s="5"/>
    </row>
    <row r="1411" spans="2:6">
      <c r="B1411" s="1"/>
      <c r="C1411" s="1"/>
      <c r="D1411" s="1"/>
      <c r="E1411" s="8"/>
      <c r="F1411" s="5"/>
    </row>
    <row r="1412" spans="2:6">
      <c r="B1412" s="1"/>
      <c r="C1412" s="1"/>
      <c r="D1412" s="1"/>
      <c r="E1412" s="8"/>
      <c r="F1412" s="5"/>
    </row>
    <row r="1413" spans="2:6">
      <c r="B1413" s="1"/>
      <c r="C1413" s="1"/>
      <c r="D1413" s="1"/>
      <c r="E1413" s="8"/>
      <c r="F1413" s="5"/>
    </row>
    <row r="1414" spans="2:6">
      <c r="B1414" s="1"/>
      <c r="C1414" s="1"/>
      <c r="D1414" s="1"/>
      <c r="E1414" s="8"/>
      <c r="F1414" s="5"/>
    </row>
    <row r="1415" spans="2:6">
      <c r="B1415" s="1"/>
      <c r="C1415" s="1"/>
      <c r="D1415" s="1"/>
      <c r="E1415" s="8"/>
      <c r="F1415" s="5"/>
    </row>
    <row r="1416" spans="2:6">
      <c r="B1416" s="1"/>
      <c r="C1416" s="1"/>
      <c r="D1416" s="1"/>
      <c r="E1416" s="8"/>
      <c r="F1416" s="5"/>
    </row>
    <row r="1417" spans="2:6">
      <c r="B1417" s="1"/>
      <c r="C1417" s="1"/>
      <c r="D1417" s="1"/>
      <c r="E1417" s="8"/>
      <c r="F1417" s="5"/>
    </row>
    <row r="1418" spans="2:6">
      <c r="B1418" s="1"/>
      <c r="C1418" s="1"/>
      <c r="D1418" s="1"/>
      <c r="E1418" s="8"/>
      <c r="F1418" s="5"/>
    </row>
    <row r="1419" spans="2:6">
      <c r="B1419" s="1"/>
      <c r="C1419" s="1"/>
      <c r="D1419" s="1"/>
      <c r="E1419" s="8"/>
      <c r="F1419" s="5"/>
    </row>
    <row r="1420" spans="2:6">
      <c r="B1420" s="1"/>
      <c r="C1420" s="1"/>
      <c r="D1420" s="1"/>
      <c r="E1420" s="8"/>
      <c r="F1420" s="5"/>
    </row>
    <row r="1421" spans="2:6">
      <c r="B1421" s="1"/>
      <c r="C1421" s="1"/>
      <c r="D1421" s="1"/>
      <c r="E1421" s="8"/>
      <c r="F1421" s="5"/>
    </row>
    <row r="1422" spans="2:6">
      <c r="B1422" s="1"/>
      <c r="C1422" s="1"/>
      <c r="D1422" s="1"/>
      <c r="E1422" s="8"/>
      <c r="F1422" s="5"/>
    </row>
    <row r="1423" spans="2:6">
      <c r="B1423" s="1"/>
      <c r="C1423" s="1"/>
      <c r="D1423" s="1"/>
      <c r="E1423" s="8"/>
      <c r="F1423" s="5"/>
    </row>
    <row r="1424" spans="2:6">
      <c r="B1424" s="1"/>
      <c r="C1424" s="1"/>
      <c r="D1424" s="1"/>
      <c r="E1424" s="8"/>
      <c r="F1424" s="5"/>
    </row>
    <row r="1425" spans="2:6">
      <c r="B1425" s="1"/>
      <c r="C1425" s="1"/>
      <c r="D1425" s="1"/>
      <c r="E1425" s="8"/>
      <c r="F1425" s="5"/>
    </row>
    <row r="1426" spans="2:6">
      <c r="B1426" s="1"/>
      <c r="C1426" s="1"/>
      <c r="D1426" s="1"/>
      <c r="E1426" s="8"/>
      <c r="F1426" s="5"/>
    </row>
    <row r="1427" spans="2:6">
      <c r="B1427" s="1"/>
      <c r="C1427" s="1"/>
      <c r="D1427" s="1"/>
      <c r="E1427" s="8"/>
      <c r="F1427" s="5"/>
    </row>
    <row r="1428" spans="2:6">
      <c r="B1428" s="1"/>
      <c r="C1428" s="1"/>
      <c r="D1428" s="1"/>
      <c r="E1428" s="8"/>
      <c r="F1428" s="5"/>
    </row>
    <row r="1429" spans="2:6">
      <c r="B1429" s="1"/>
      <c r="C1429" s="1"/>
      <c r="D1429" s="1"/>
      <c r="E1429" s="8"/>
      <c r="F1429" s="5"/>
    </row>
    <row r="1430" spans="2:6">
      <c r="B1430" s="1"/>
      <c r="C1430" s="1"/>
      <c r="D1430" s="1"/>
      <c r="E1430" s="8"/>
      <c r="F1430" s="5"/>
    </row>
    <row r="1431" spans="2:6">
      <c r="B1431" s="1"/>
      <c r="C1431" s="1"/>
      <c r="D1431" s="1"/>
      <c r="E1431" s="8"/>
      <c r="F1431" s="5"/>
    </row>
    <row r="1432" spans="2:6">
      <c r="B1432" s="1"/>
      <c r="C1432" s="1"/>
      <c r="D1432" s="1"/>
      <c r="E1432" s="8"/>
      <c r="F1432" s="5"/>
    </row>
    <row r="1433" spans="2:6">
      <c r="B1433" s="1"/>
      <c r="C1433" s="1"/>
      <c r="D1433" s="1"/>
      <c r="E1433" s="8"/>
      <c r="F1433" s="5"/>
    </row>
    <row r="1434" spans="2:6">
      <c r="B1434" s="1"/>
      <c r="C1434" s="1"/>
      <c r="D1434" s="1"/>
      <c r="E1434" s="8"/>
      <c r="F1434" s="5"/>
    </row>
    <row r="1435" spans="2:6">
      <c r="B1435" s="1"/>
      <c r="C1435" s="1"/>
      <c r="D1435" s="1"/>
      <c r="E1435" s="8"/>
      <c r="F1435" s="5"/>
    </row>
    <row r="1436" spans="2:6">
      <c r="B1436" s="1"/>
      <c r="C1436" s="1"/>
      <c r="D1436" s="1"/>
      <c r="E1436" s="8"/>
      <c r="F1436" s="5"/>
    </row>
    <row r="1437" spans="2:6">
      <c r="B1437" s="1"/>
      <c r="C1437" s="1"/>
      <c r="D1437" s="1"/>
      <c r="E1437" s="8"/>
      <c r="F1437" s="5"/>
    </row>
    <row r="1438" spans="2:6">
      <c r="B1438" s="1"/>
      <c r="C1438" s="1"/>
      <c r="D1438" s="1"/>
      <c r="E1438" s="8"/>
      <c r="F1438" s="5"/>
    </row>
    <row r="1439" spans="2:6">
      <c r="B1439" s="1"/>
      <c r="C1439" s="1"/>
      <c r="D1439" s="1"/>
      <c r="E1439" s="8"/>
      <c r="F1439" s="5"/>
    </row>
    <row r="1440" spans="2:6">
      <c r="B1440" s="1"/>
      <c r="C1440" s="1"/>
      <c r="D1440" s="1"/>
      <c r="E1440" s="8"/>
      <c r="F1440" s="5"/>
    </row>
    <row r="1441" spans="2:6">
      <c r="B1441" s="1"/>
      <c r="C1441" s="1"/>
      <c r="D1441" s="1"/>
      <c r="E1441" s="8"/>
      <c r="F1441" s="5"/>
    </row>
    <row r="1442" spans="2:6">
      <c r="B1442" s="1"/>
      <c r="C1442" s="1"/>
      <c r="D1442" s="1"/>
      <c r="E1442" s="8"/>
      <c r="F1442" s="5"/>
    </row>
    <row r="1443" spans="2:6">
      <c r="B1443" s="1"/>
      <c r="C1443" s="1"/>
      <c r="D1443" s="1"/>
      <c r="E1443" s="8"/>
      <c r="F1443" s="5"/>
    </row>
    <row r="1444" spans="2:6">
      <c r="B1444" s="1"/>
      <c r="C1444" s="1"/>
      <c r="D1444" s="1"/>
      <c r="E1444" s="8"/>
      <c r="F1444" s="5"/>
    </row>
    <row r="1445" spans="2:6">
      <c r="B1445" s="1"/>
      <c r="C1445" s="1"/>
      <c r="D1445" s="1"/>
      <c r="E1445" s="8"/>
      <c r="F1445" s="5"/>
    </row>
    <row r="1446" spans="2:6">
      <c r="B1446" s="1"/>
      <c r="C1446" s="1"/>
      <c r="D1446" s="1"/>
      <c r="E1446" s="8"/>
      <c r="F1446" s="5"/>
    </row>
    <row r="1447" spans="2:6">
      <c r="B1447" s="1"/>
      <c r="C1447" s="1"/>
      <c r="D1447" s="1"/>
      <c r="E1447" s="8"/>
      <c r="F1447" s="5"/>
    </row>
    <row r="1448" spans="2:6">
      <c r="B1448" s="1"/>
      <c r="C1448" s="1"/>
      <c r="D1448" s="1"/>
      <c r="E1448" s="8"/>
      <c r="F1448" s="5"/>
    </row>
    <row r="1449" spans="2:6">
      <c r="B1449" s="1"/>
      <c r="C1449" s="1"/>
      <c r="D1449" s="1"/>
      <c r="E1449" s="8"/>
      <c r="F1449" s="5"/>
    </row>
    <row r="1450" spans="2:6">
      <c r="B1450" s="1"/>
      <c r="C1450" s="1"/>
      <c r="D1450" s="1"/>
      <c r="E1450" s="8"/>
      <c r="F1450" s="5"/>
    </row>
    <row r="1451" spans="2:6">
      <c r="B1451" s="1"/>
      <c r="C1451" s="1"/>
      <c r="D1451" s="1"/>
      <c r="E1451" s="8"/>
      <c r="F1451" s="5"/>
    </row>
    <row r="1452" spans="2:6">
      <c r="B1452" s="1"/>
      <c r="C1452" s="1"/>
      <c r="D1452" s="1"/>
      <c r="E1452" s="8"/>
      <c r="F1452" s="5"/>
    </row>
    <row r="1453" spans="2:6">
      <c r="B1453" s="1"/>
      <c r="C1453" s="1"/>
      <c r="D1453" s="1"/>
      <c r="E1453" s="8"/>
      <c r="F1453" s="5"/>
    </row>
    <row r="1454" spans="2:6">
      <c r="B1454" s="1"/>
      <c r="C1454" s="1"/>
      <c r="D1454" s="1"/>
      <c r="E1454" s="8"/>
      <c r="F1454" s="5"/>
    </row>
    <row r="1455" spans="2:6">
      <c r="B1455" s="1"/>
      <c r="C1455" s="1"/>
      <c r="D1455" s="1"/>
      <c r="E1455" s="8"/>
      <c r="F1455" s="5"/>
    </row>
    <row r="1456" spans="2:6">
      <c r="B1456" s="1"/>
      <c r="C1456" s="1"/>
      <c r="D1456" s="1"/>
      <c r="E1456" s="8"/>
      <c r="F1456" s="5"/>
    </row>
    <row r="1457" spans="2:6">
      <c r="B1457" s="1"/>
      <c r="C1457" s="1"/>
      <c r="D1457" s="1"/>
      <c r="E1457" s="8"/>
      <c r="F1457" s="5"/>
    </row>
    <row r="1458" spans="2:6">
      <c r="B1458" s="1"/>
      <c r="C1458" s="1"/>
      <c r="D1458" s="1"/>
      <c r="E1458" s="8"/>
      <c r="F1458" s="5"/>
    </row>
    <row r="1459" spans="2:6">
      <c r="B1459" s="1"/>
      <c r="C1459" s="1"/>
      <c r="D1459" s="1"/>
      <c r="E1459" s="8"/>
      <c r="F1459" s="5"/>
    </row>
    <row r="1460" spans="2:6">
      <c r="B1460" s="1"/>
      <c r="C1460" s="1"/>
      <c r="D1460" s="1"/>
      <c r="E1460" s="8"/>
      <c r="F1460" s="5"/>
    </row>
    <row r="1461" spans="2:6">
      <c r="B1461" s="1"/>
      <c r="C1461" s="1"/>
      <c r="D1461" s="1"/>
      <c r="E1461" s="8"/>
      <c r="F1461" s="5"/>
    </row>
    <row r="1462" spans="2:6">
      <c r="B1462" s="1"/>
      <c r="C1462" s="1"/>
      <c r="D1462" s="1"/>
      <c r="E1462" s="8"/>
      <c r="F1462" s="5"/>
    </row>
    <row r="1463" spans="2:6">
      <c r="B1463" s="1"/>
      <c r="C1463" s="1"/>
      <c r="D1463" s="1"/>
      <c r="E1463" s="8"/>
      <c r="F1463" s="5"/>
    </row>
    <row r="1464" spans="2:6">
      <c r="B1464" s="1"/>
      <c r="C1464" s="1"/>
      <c r="D1464" s="1"/>
      <c r="E1464" s="8"/>
      <c r="F1464" s="5"/>
    </row>
    <row r="1465" spans="2:6">
      <c r="B1465" s="1"/>
      <c r="C1465" s="1"/>
      <c r="D1465" s="1"/>
      <c r="E1465" s="8"/>
      <c r="F1465" s="5"/>
    </row>
    <row r="1466" spans="2:6">
      <c r="B1466" s="1"/>
      <c r="C1466" s="1"/>
      <c r="D1466" s="1"/>
      <c r="E1466" s="8"/>
      <c r="F1466" s="5"/>
    </row>
    <row r="1467" spans="2:6">
      <c r="B1467" s="1"/>
      <c r="C1467" s="1"/>
      <c r="D1467" s="1"/>
      <c r="E1467" s="8"/>
      <c r="F1467" s="5"/>
    </row>
    <row r="1468" spans="2:6">
      <c r="B1468" s="1"/>
      <c r="C1468" s="1"/>
      <c r="D1468" s="1"/>
      <c r="E1468" s="8"/>
      <c r="F1468" s="5"/>
    </row>
    <row r="1469" spans="2:6">
      <c r="B1469" s="1"/>
      <c r="C1469" s="1"/>
      <c r="D1469" s="1"/>
      <c r="E1469" s="8"/>
      <c r="F1469" s="5"/>
    </row>
    <row r="1470" spans="2:6">
      <c r="B1470" s="1"/>
      <c r="C1470" s="1"/>
      <c r="D1470" s="1"/>
      <c r="E1470" s="8"/>
      <c r="F1470" s="5"/>
    </row>
    <row r="1471" spans="2:6">
      <c r="B1471" s="1"/>
      <c r="C1471" s="1"/>
      <c r="D1471" s="1"/>
      <c r="E1471" s="8"/>
      <c r="F1471" s="5"/>
    </row>
    <row r="1472" spans="2:6">
      <c r="B1472" s="1"/>
      <c r="C1472" s="1"/>
      <c r="D1472" s="1"/>
      <c r="E1472" s="8"/>
      <c r="F1472" s="5"/>
    </row>
    <row r="1473" spans="2:6">
      <c r="B1473" s="1"/>
      <c r="C1473" s="1"/>
      <c r="D1473" s="1"/>
      <c r="E1473" s="8"/>
      <c r="F1473" s="5"/>
    </row>
    <row r="1474" spans="2:6">
      <c r="B1474" s="1"/>
      <c r="C1474" s="1"/>
      <c r="D1474" s="1"/>
      <c r="E1474" s="8"/>
      <c r="F1474" s="5"/>
    </row>
    <row r="1475" spans="2:6">
      <c r="B1475" s="1"/>
      <c r="C1475" s="1"/>
      <c r="D1475" s="1"/>
      <c r="E1475" s="8"/>
      <c r="F1475" s="5"/>
    </row>
    <row r="1476" spans="2:6">
      <c r="B1476" s="1"/>
      <c r="C1476" s="1"/>
      <c r="D1476" s="1"/>
      <c r="E1476" s="8"/>
      <c r="F1476" s="5"/>
    </row>
    <row r="1477" spans="2:6">
      <c r="B1477" s="1"/>
      <c r="C1477" s="1"/>
      <c r="D1477" s="1"/>
      <c r="E1477" s="8"/>
      <c r="F1477" s="5"/>
    </row>
    <row r="1478" spans="2:6">
      <c r="B1478" s="1"/>
      <c r="C1478" s="1"/>
      <c r="D1478" s="1"/>
      <c r="E1478" s="8"/>
      <c r="F1478" s="5"/>
    </row>
    <row r="1479" spans="2:6">
      <c r="B1479" s="1"/>
      <c r="C1479" s="1"/>
      <c r="D1479" s="1"/>
      <c r="E1479" s="8"/>
      <c r="F1479" s="5"/>
    </row>
    <row r="1480" spans="2:6">
      <c r="B1480" s="1"/>
      <c r="C1480" s="1"/>
      <c r="D1480" s="1"/>
      <c r="E1480" s="8"/>
      <c r="F1480" s="5"/>
    </row>
    <row r="1481" spans="2:6">
      <c r="B1481" s="1"/>
      <c r="C1481" s="1"/>
      <c r="D1481" s="1"/>
      <c r="E1481" s="8"/>
      <c r="F1481" s="5"/>
    </row>
    <row r="1482" spans="2:6">
      <c r="B1482" s="1"/>
      <c r="C1482" s="1"/>
      <c r="D1482" s="1"/>
      <c r="E1482" s="8"/>
      <c r="F1482" s="5"/>
    </row>
    <row r="1483" spans="2:6">
      <c r="B1483" s="1"/>
      <c r="C1483" s="1"/>
      <c r="D1483" s="1"/>
      <c r="E1483" s="8"/>
      <c r="F1483" s="5"/>
    </row>
    <row r="1484" spans="2:6">
      <c r="B1484" s="1"/>
      <c r="C1484" s="1"/>
      <c r="D1484" s="1"/>
      <c r="E1484" s="8"/>
      <c r="F1484" s="5"/>
    </row>
    <row r="1485" spans="2:6">
      <c r="B1485" s="1"/>
      <c r="C1485" s="1"/>
      <c r="D1485" s="1"/>
      <c r="E1485" s="8"/>
      <c r="F1485" s="5"/>
    </row>
    <row r="1486" spans="2:6">
      <c r="B1486" s="1"/>
      <c r="C1486" s="1"/>
      <c r="D1486" s="1"/>
      <c r="E1486" s="8"/>
      <c r="F1486" s="5"/>
    </row>
    <row r="1487" spans="2:6">
      <c r="B1487" s="1"/>
      <c r="C1487" s="1"/>
      <c r="D1487" s="1"/>
      <c r="E1487" s="8"/>
      <c r="F1487" s="5"/>
    </row>
    <row r="1488" spans="2:6">
      <c r="B1488" s="1"/>
      <c r="C1488" s="1"/>
      <c r="D1488" s="1"/>
      <c r="E1488" s="8"/>
      <c r="F1488" s="5"/>
    </row>
    <row r="1489" spans="2:6">
      <c r="B1489" s="1"/>
      <c r="C1489" s="1"/>
      <c r="D1489" s="1"/>
      <c r="E1489" s="8"/>
      <c r="F1489" s="5"/>
    </row>
    <row r="1490" spans="2:6">
      <c r="B1490" s="1"/>
      <c r="C1490" s="1"/>
      <c r="D1490" s="1"/>
      <c r="E1490" s="8"/>
      <c r="F1490" s="5"/>
    </row>
    <row r="1491" spans="2:6">
      <c r="B1491" s="1"/>
      <c r="C1491" s="1"/>
      <c r="D1491" s="1"/>
      <c r="E1491" s="8"/>
      <c r="F1491" s="5"/>
    </row>
    <row r="1492" spans="2:6">
      <c r="B1492" s="1"/>
      <c r="C1492" s="1"/>
      <c r="D1492" s="1"/>
      <c r="E1492" s="8"/>
      <c r="F1492" s="5"/>
    </row>
    <row r="1493" spans="2:6">
      <c r="B1493" s="1"/>
      <c r="C1493" s="1"/>
      <c r="D1493" s="1"/>
      <c r="E1493" s="8"/>
      <c r="F1493" s="5"/>
    </row>
    <row r="1494" spans="2:6">
      <c r="B1494" s="1"/>
      <c r="C1494" s="1"/>
      <c r="D1494" s="1"/>
      <c r="E1494" s="8"/>
      <c r="F1494" s="5"/>
    </row>
    <row r="1495" spans="2:6">
      <c r="B1495" s="1"/>
      <c r="C1495" s="1"/>
      <c r="D1495" s="1"/>
      <c r="E1495" s="8"/>
      <c r="F1495" s="5"/>
    </row>
    <row r="1496" spans="2:6">
      <c r="B1496" s="1"/>
      <c r="C1496" s="1"/>
      <c r="D1496" s="1"/>
      <c r="E1496" s="8"/>
      <c r="F1496" s="5"/>
    </row>
    <row r="1497" spans="2:6">
      <c r="B1497" s="1"/>
      <c r="C1497" s="1"/>
      <c r="D1497" s="1"/>
      <c r="E1497" s="8"/>
      <c r="F1497" s="5"/>
    </row>
    <row r="1498" spans="2:6">
      <c r="B1498" s="1"/>
      <c r="C1498" s="1"/>
      <c r="D1498" s="1"/>
      <c r="E1498" s="8"/>
      <c r="F1498" s="5"/>
    </row>
    <row r="1499" spans="2:6">
      <c r="B1499" s="1"/>
      <c r="C1499" s="1"/>
      <c r="D1499" s="1"/>
      <c r="E1499" s="8"/>
      <c r="F1499" s="5"/>
    </row>
    <row r="1500" spans="2:6">
      <c r="B1500" s="1"/>
      <c r="C1500" s="1"/>
      <c r="D1500" s="1"/>
      <c r="E1500" s="8"/>
      <c r="F1500" s="5"/>
    </row>
    <row r="1501" spans="2:6">
      <c r="B1501" s="1"/>
      <c r="C1501" s="1"/>
      <c r="D1501" s="1"/>
      <c r="E1501" s="8"/>
      <c r="F1501" s="5"/>
    </row>
    <row r="1502" spans="2:6">
      <c r="B1502" s="1"/>
      <c r="C1502" s="1"/>
      <c r="D1502" s="1"/>
      <c r="E1502" s="8"/>
      <c r="F1502" s="5"/>
    </row>
    <row r="1503" spans="2:6">
      <c r="B1503" s="1"/>
      <c r="C1503" s="1"/>
      <c r="D1503" s="1"/>
      <c r="E1503" s="8"/>
      <c r="F1503" s="5"/>
    </row>
    <row r="1504" spans="2:6">
      <c r="B1504" s="1"/>
      <c r="C1504" s="1"/>
      <c r="D1504" s="1"/>
      <c r="E1504" s="8"/>
      <c r="F1504" s="5"/>
    </row>
    <row r="1505" spans="2:6">
      <c r="B1505" s="1"/>
      <c r="C1505" s="1"/>
      <c r="D1505" s="1"/>
      <c r="E1505" s="8"/>
      <c r="F1505" s="5"/>
    </row>
    <row r="1506" spans="2:6">
      <c r="B1506" s="1"/>
      <c r="C1506" s="1"/>
      <c r="D1506" s="1"/>
      <c r="E1506" s="8"/>
      <c r="F1506" s="5"/>
    </row>
    <row r="1507" spans="2:6">
      <c r="B1507" s="1"/>
      <c r="C1507" s="1"/>
      <c r="D1507" s="1"/>
      <c r="E1507" s="8"/>
      <c r="F1507" s="5"/>
    </row>
    <row r="1508" spans="2:6">
      <c r="B1508" s="1"/>
      <c r="C1508" s="1"/>
      <c r="D1508" s="1"/>
      <c r="E1508" s="8"/>
      <c r="F1508" s="5"/>
    </row>
    <row r="1509" spans="2:6">
      <c r="B1509" s="1"/>
      <c r="C1509" s="1"/>
      <c r="D1509" s="1"/>
      <c r="E1509" s="8"/>
      <c r="F1509" s="5"/>
    </row>
    <row r="1510" spans="2:6">
      <c r="B1510" s="1"/>
      <c r="C1510" s="1"/>
      <c r="D1510" s="1"/>
      <c r="E1510" s="8"/>
      <c r="F1510" s="5"/>
    </row>
    <row r="1511" spans="2:6">
      <c r="B1511" s="1"/>
      <c r="C1511" s="1"/>
      <c r="D1511" s="1"/>
      <c r="E1511" s="8"/>
      <c r="F1511" s="5"/>
    </row>
    <row r="1512" spans="2:6">
      <c r="B1512" s="1"/>
      <c r="C1512" s="1"/>
      <c r="D1512" s="1"/>
      <c r="E1512" s="8"/>
      <c r="F1512" s="5"/>
    </row>
    <row r="1513" spans="2:6">
      <c r="B1513" s="1"/>
      <c r="C1513" s="1"/>
      <c r="D1513" s="1"/>
      <c r="E1513" s="8"/>
      <c r="F1513" s="5"/>
    </row>
    <row r="1514" spans="2:6">
      <c r="B1514" s="1"/>
      <c r="C1514" s="1"/>
      <c r="D1514" s="1"/>
      <c r="E1514" s="8"/>
      <c r="F1514" s="5"/>
    </row>
    <row r="1515" spans="2:6">
      <c r="B1515" s="1"/>
      <c r="C1515" s="1"/>
      <c r="D1515" s="1"/>
      <c r="E1515" s="8"/>
      <c r="F1515" s="5"/>
    </row>
    <row r="1516" spans="2:6">
      <c r="B1516" s="1"/>
      <c r="C1516" s="1"/>
      <c r="D1516" s="1"/>
      <c r="E1516" s="8"/>
      <c r="F1516" s="5"/>
    </row>
    <row r="1517" spans="2:6">
      <c r="B1517" s="1"/>
      <c r="C1517" s="1"/>
      <c r="D1517" s="1"/>
      <c r="E1517" s="8"/>
      <c r="F1517" s="5"/>
    </row>
    <row r="1518" spans="2:6">
      <c r="B1518" s="1"/>
      <c r="C1518" s="1"/>
      <c r="D1518" s="1"/>
      <c r="E1518" s="8"/>
      <c r="F1518" s="5"/>
    </row>
    <row r="1519" spans="2:6">
      <c r="B1519" s="1"/>
      <c r="C1519" s="1"/>
      <c r="D1519" s="1"/>
      <c r="E1519" s="8"/>
      <c r="F1519" s="5"/>
    </row>
    <row r="1520" spans="2:6">
      <c r="B1520" s="1"/>
      <c r="C1520" s="1"/>
      <c r="D1520" s="1"/>
      <c r="E1520" s="8"/>
      <c r="F1520" s="5"/>
    </row>
    <row r="1521" spans="2:6">
      <c r="B1521" s="1"/>
      <c r="C1521" s="1"/>
      <c r="D1521" s="1"/>
      <c r="E1521" s="8"/>
      <c r="F1521" s="5"/>
    </row>
    <row r="1522" spans="2:6">
      <c r="B1522" s="1"/>
      <c r="C1522" s="1"/>
      <c r="D1522" s="1"/>
      <c r="E1522" s="8"/>
      <c r="F1522" s="5"/>
    </row>
    <row r="1523" spans="2:6">
      <c r="B1523" s="1"/>
      <c r="C1523" s="1"/>
      <c r="D1523" s="1"/>
      <c r="E1523" s="8"/>
      <c r="F1523" s="5"/>
    </row>
    <row r="1524" spans="2:6">
      <c r="B1524" s="1"/>
      <c r="C1524" s="1"/>
      <c r="D1524" s="1"/>
      <c r="E1524" s="8"/>
      <c r="F1524" s="5"/>
    </row>
    <row r="1525" spans="2:6">
      <c r="B1525" s="1"/>
      <c r="C1525" s="1"/>
      <c r="D1525" s="1"/>
      <c r="E1525" s="8"/>
      <c r="F1525" s="5"/>
    </row>
    <row r="1526" spans="2:6">
      <c r="B1526" s="1"/>
      <c r="C1526" s="1"/>
      <c r="D1526" s="1"/>
      <c r="E1526" s="8"/>
      <c r="F1526" s="5"/>
    </row>
    <row r="1527" spans="2:6">
      <c r="B1527" s="1"/>
      <c r="C1527" s="1"/>
      <c r="D1527" s="1"/>
      <c r="E1527" s="8"/>
      <c r="F1527" s="5"/>
    </row>
    <row r="1528" spans="2:6">
      <c r="B1528" s="1"/>
      <c r="C1528" s="1"/>
      <c r="D1528" s="1"/>
      <c r="E1528" s="8"/>
      <c r="F1528" s="5"/>
    </row>
    <row r="1529" spans="2:6">
      <c r="B1529" s="1"/>
      <c r="C1529" s="1"/>
      <c r="D1529" s="1"/>
      <c r="E1529" s="8"/>
      <c r="F1529" s="5"/>
    </row>
    <row r="1530" spans="2:6">
      <c r="B1530" s="1"/>
      <c r="C1530" s="1"/>
      <c r="D1530" s="1"/>
      <c r="E1530" s="8"/>
      <c r="F1530" s="5"/>
    </row>
    <row r="1531" spans="2:6">
      <c r="B1531" s="1"/>
      <c r="C1531" s="1"/>
      <c r="D1531" s="1"/>
      <c r="E1531" s="8"/>
      <c r="F1531" s="5"/>
    </row>
    <row r="1532" spans="2:6">
      <c r="B1532" s="1"/>
      <c r="C1532" s="1"/>
      <c r="D1532" s="1"/>
      <c r="E1532" s="8"/>
      <c r="F1532" s="5"/>
    </row>
    <row r="1533" spans="2:6">
      <c r="B1533" s="1"/>
      <c r="C1533" s="1"/>
      <c r="D1533" s="1"/>
      <c r="E1533" s="8"/>
      <c r="F1533" s="5"/>
    </row>
    <row r="1534" spans="2:6">
      <c r="B1534" s="1"/>
      <c r="C1534" s="1"/>
      <c r="D1534" s="1"/>
      <c r="E1534" s="8"/>
      <c r="F1534" s="5"/>
    </row>
    <row r="1535" spans="2:6">
      <c r="B1535" s="1"/>
      <c r="C1535" s="1"/>
      <c r="D1535" s="1"/>
      <c r="E1535" s="8"/>
      <c r="F1535" s="5"/>
    </row>
    <row r="1536" spans="2:6">
      <c r="B1536" s="1"/>
      <c r="C1536" s="1"/>
      <c r="D1536" s="1"/>
      <c r="E1536" s="8"/>
      <c r="F1536" s="5"/>
    </row>
    <row r="1537" spans="2:6">
      <c r="B1537" s="1"/>
      <c r="C1537" s="1"/>
      <c r="D1537" s="1"/>
      <c r="E1537" s="8"/>
      <c r="F1537" s="5"/>
    </row>
    <row r="1538" spans="2:6">
      <c r="B1538" s="1"/>
      <c r="C1538" s="1"/>
      <c r="D1538" s="1"/>
      <c r="E1538" s="8"/>
      <c r="F1538" s="5"/>
    </row>
    <row r="1539" spans="2:6">
      <c r="B1539" s="1"/>
      <c r="C1539" s="1"/>
      <c r="D1539" s="1"/>
      <c r="E1539" s="8"/>
      <c r="F1539" s="5"/>
    </row>
    <row r="1540" spans="2:6">
      <c r="B1540" s="1"/>
      <c r="C1540" s="1"/>
      <c r="D1540" s="1"/>
      <c r="E1540" s="8"/>
      <c r="F1540" s="5"/>
    </row>
    <row r="1541" spans="2:6">
      <c r="B1541" s="1"/>
      <c r="C1541" s="1"/>
      <c r="D1541" s="1"/>
      <c r="E1541" s="8"/>
      <c r="F1541" s="5"/>
    </row>
    <row r="1542" spans="2:6">
      <c r="B1542" s="1"/>
      <c r="C1542" s="1"/>
      <c r="D1542" s="1"/>
      <c r="E1542" s="8"/>
      <c r="F1542" s="5"/>
    </row>
    <row r="1543" spans="2:6">
      <c r="B1543" s="1"/>
      <c r="C1543" s="1"/>
      <c r="D1543" s="1"/>
      <c r="E1543" s="8"/>
      <c r="F1543" s="5"/>
    </row>
    <row r="1544" spans="2:6">
      <c r="B1544" s="1"/>
      <c r="C1544" s="1"/>
      <c r="D1544" s="1"/>
      <c r="E1544" s="8"/>
      <c r="F1544" s="5"/>
    </row>
    <row r="1545" spans="2:6">
      <c r="B1545" s="1"/>
      <c r="C1545" s="1"/>
      <c r="D1545" s="1"/>
      <c r="E1545" s="8"/>
      <c r="F1545" s="5"/>
    </row>
    <row r="1546" spans="2:6">
      <c r="B1546" s="1"/>
      <c r="C1546" s="1"/>
      <c r="D1546" s="1"/>
      <c r="E1546" s="8"/>
      <c r="F1546" s="5"/>
    </row>
    <row r="1547" spans="2:6">
      <c r="B1547" s="1"/>
      <c r="C1547" s="1"/>
      <c r="D1547" s="1"/>
      <c r="E1547" s="8"/>
      <c r="F1547" s="5"/>
    </row>
    <row r="1548" spans="2:6">
      <c r="B1548" s="1"/>
      <c r="C1548" s="1"/>
      <c r="D1548" s="1"/>
      <c r="E1548" s="8"/>
      <c r="F1548" s="5"/>
    </row>
    <row r="1549" spans="2:6">
      <c r="B1549" s="1"/>
      <c r="C1549" s="1"/>
      <c r="D1549" s="1"/>
      <c r="E1549" s="8"/>
      <c r="F1549" s="5"/>
    </row>
    <row r="1550" spans="2:6">
      <c r="B1550" s="1"/>
      <c r="C1550" s="1"/>
      <c r="D1550" s="1"/>
      <c r="E1550" s="8"/>
      <c r="F1550" s="5"/>
    </row>
    <row r="1551" spans="2:6">
      <c r="B1551" s="1"/>
      <c r="C1551" s="1"/>
      <c r="D1551" s="1"/>
      <c r="E1551" s="8"/>
      <c r="F1551" s="5"/>
    </row>
    <row r="1552" spans="2:6">
      <c r="B1552" s="1"/>
      <c r="C1552" s="1"/>
      <c r="D1552" s="1"/>
      <c r="E1552" s="8"/>
      <c r="F1552" s="5"/>
    </row>
    <row r="1553" spans="2:6">
      <c r="B1553" s="1"/>
      <c r="C1553" s="1"/>
      <c r="D1553" s="1"/>
      <c r="E1553" s="8"/>
      <c r="F1553" s="5"/>
    </row>
    <row r="1554" spans="2:6">
      <c r="B1554" s="1"/>
      <c r="C1554" s="1"/>
      <c r="D1554" s="1"/>
      <c r="E1554" s="8"/>
      <c r="F1554" s="5"/>
    </row>
    <row r="1555" spans="2:6">
      <c r="B1555" s="1"/>
      <c r="C1555" s="1"/>
      <c r="D1555" s="1"/>
      <c r="E1555" s="8"/>
      <c r="F1555" s="5"/>
    </row>
    <row r="1556" spans="2:6">
      <c r="B1556" s="1"/>
      <c r="C1556" s="1"/>
      <c r="D1556" s="1"/>
      <c r="E1556" s="8"/>
      <c r="F1556" s="5"/>
    </row>
    <row r="1557" spans="2:6">
      <c r="B1557" s="1"/>
      <c r="C1557" s="1"/>
      <c r="D1557" s="1"/>
      <c r="E1557" s="8"/>
      <c r="F1557" s="5"/>
    </row>
    <row r="1558" spans="2:6">
      <c r="B1558" s="1"/>
      <c r="C1558" s="1"/>
      <c r="D1558" s="1"/>
      <c r="E1558" s="8"/>
      <c r="F1558" s="5"/>
    </row>
    <row r="1559" spans="2:6">
      <c r="B1559" s="1"/>
      <c r="C1559" s="1"/>
      <c r="D1559" s="1"/>
      <c r="E1559" s="8"/>
      <c r="F1559" s="5"/>
    </row>
    <row r="1560" spans="2:6">
      <c r="B1560" s="1"/>
      <c r="C1560" s="1"/>
      <c r="D1560" s="1"/>
      <c r="E1560" s="8"/>
      <c r="F1560" s="5"/>
    </row>
    <row r="1561" spans="2:6">
      <c r="B1561" s="1"/>
      <c r="C1561" s="1"/>
      <c r="D1561" s="1"/>
      <c r="E1561" s="8"/>
      <c r="F1561" s="5"/>
    </row>
    <row r="1562" spans="2:6">
      <c r="B1562" s="1"/>
      <c r="C1562" s="1"/>
      <c r="D1562" s="1"/>
      <c r="E1562" s="8"/>
      <c r="F1562" s="5"/>
    </row>
    <row r="1563" spans="2:6">
      <c r="B1563" s="1"/>
      <c r="C1563" s="1"/>
      <c r="D1563" s="1"/>
      <c r="E1563" s="8"/>
      <c r="F1563" s="5"/>
    </row>
    <row r="1564" spans="2:6">
      <c r="B1564" s="1"/>
      <c r="C1564" s="1"/>
      <c r="D1564" s="1"/>
      <c r="E1564" s="8"/>
      <c r="F1564" s="5"/>
    </row>
    <row r="1565" spans="2:6">
      <c r="B1565" s="1"/>
      <c r="C1565" s="1"/>
      <c r="D1565" s="1"/>
      <c r="E1565" s="8"/>
      <c r="F1565" s="5"/>
    </row>
    <row r="1566" spans="2:6">
      <c r="B1566" s="1"/>
      <c r="C1566" s="1"/>
      <c r="D1566" s="1"/>
      <c r="E1566" s="8"/>
      <c r="F1566" s="5"/>
    </row>
    <row r="1567" spans="2:6">
      <c r="B1567" s="1"/>
      <c r="C1567" s="1"/>
      <c r="D1567" s="1"/>
      <c r="E1567" s="8"/>
      <c r="F1567" s="5"/>
    </row>
    <row r="1568" spans="2:6">
      <c r="B1568" s="1"/>
      <c r="C1568" s="1"/>
      <c r="D1568" s="1"/>
      <c r="E1568" s="8"/>
      <c r="F1568" s="5"/>
    </row>
    <row r="1569" spans="2:6">
      <c r="B1569" s="1"/>
      <c r="C1569" s="1"/>
      <c r="D1569" s="1"/>
      <c r="E1569" s="8"/>
      <c r="F1569" s="5"/>
    </row>
    <row r="1570" spans="2:6">
      <c r="B1570" s="1"/>
      <c r="C1570" s="1"/>
      <c r="D1570" s="1"/>
      <c r="E1570" s="8"/>
      <c r="F1570" s="5"/>
    </row>
    <row r="1571" spans="2:6">
      <c r="B1571" s="1"/>
      <c r="C1571" s="1"/>
      <c r="D1571" s="1"/>
      <c r="E1571" s="8"/>
      <c r="F1571" s="5"/>
    </row>
    <row r="1572" spans="2:6">
      <c r="B1572" s="1"/>
      <c r="C1572" s="1"/>
      <c r="D1572" s="1"/>
      <c r="E1572" s="8"/>
      <c r="F1572" s="5"/>
    </row>
    <row r="1573" spans="2:6">
      <c r="B1573" s="1"/>
      <c r="C1573" s="1"/>
      <c r="D1573" s="1"/>
      <c r="E1573" s="8"/>
      <c r="F1573" s="5"/>
    </row>
    <row r="1574" spans="2:6">
      <c r="B1574" s="1"/>
      <c r="C1574" s="1"/>
      <c r="D1574" s="1"/>
      <c r="E1574" s="8"/>
      <c r="F1574" s="5"/>
    </row>
    <row r="1575" spans="2:6">
      <c r="B1575" s="1"/>
      <c r="C1575" s="1"/>
      <c r="D1575" s="1"/>
      <c r="E1575" s="8"/>
      <c r="F1575" s="5"/>
    </row>
    <row r="1576" spans="2:6">
      <c r="B1576" s="1"/>
      <c r="C1576" s="1"/>
      <c r="D1576" s="1"/>
      <c r="E1576" s="8"/>
      <c r="F1576" s="5"/>
    </row>
    <row r="1577" spans="2:6">
      <c r="B1577" s="1"/>
      <c r="C1577" s="1"/>
      <c r="D1577" s="1"/>
      <c r="E1577" s="8"/>
      <c r="F1577" s="5"/>
    </row>
    <row r="1578" spans="2:6">
      <c r="B1578" s="1"/>
      <c r="C1578" s="1"/>
      <c r="D1578" s="1"/>
      <c r="E1578" s="8"/>
      <c r="F1578" s="5"/>
    </row>
    <row r="1579" spans="2:6">
      <c r="B1579" s="1"/>
      <c r="C1579" s="1"/>
      <c r="D1579" s="1"/>
      <c r="E1579" s="8"/>
      <c r="F1579" s="5"/>
    </row>
    <row r="1580" spans="2:6">
      <c r="B1580" s="1"/>
      <c r="C1580" s="1"/>
      <c r="D1580" s="1"/>
      <c r="E1580" s="8"/>
      <c r="F1580" s="5"/>
    </row>
    <row r="1581" spans="2:6">
      <c r="B1581" s="1"/>
      <c r="C1581" s="1"/>
      <c r="D1581" s="1"/>
      <c r="E1581" s="8"/>
      <c r="F1581" s="5"/>
    </row>
    <row r="1582" spans="2:6">
      <c r="B1582" s="1"/>
      <c r="C1582" s="1"/>
      <c r="D1582" s="1"/>
      <c r="E1582" s="8"/>
      <c r="F1582" s="5"/>
    </row>
    <row r="1583" spans="2:6">
      <c r="B1583" s="1"/>
      <c r="C1583" s="1"/>
      <c r="D1583" s="1"/>
      <c r="E1583" s="8"/>
      <c r="F1583" s="5"/>
    </row>
    <row r="1584" spans="2:6">
      <c r="B1584" s="1"/>
      <c r="C1584" s="1"/>
      <c r="D1584" s="1"/>
      <c r="E1584" s="8"/>
      <c r="F1584" s="5"/>
    </row>
    <row r="1585" spans="2:6">
      <c r="B1585" s="1"/>
      <c r="C1585" s="1"/>
      <c r="D1585" s="1"/>
      <c r="E1585" s="8"/>
      <c r="F1585" s="5"/>
    </row>
    <row r="1586" spans="2:6">
      <c r="B1586" s="1"/>
      <c r="C1586" s="1"/>
      <c r="D1586" s="1"/>
      <c r="E1586" s="8"/>
      <c r="F1586" s="5"/>
    </row>
    <row r="1587" spans="2:6">
      <c r="B1587" s="1"/>
      <c r="C1587" s="1"/>
      <c r="D1587" s="1"/>
      <c r="E1587" s="8"/>
      <c r="F1587" s="5"/>
    </row>
    <row r="1588" spans="2:6">
      <c r="B1588" s="1"/>
      <c r="C1588" s="1"/>
      <c r="D1588" s="1"/>
      <c r="E1588" s="8"/>
      <c r="F1588" s="5"/>
    </row>
    <row r="1589" spans="2:6">
      <c r="B1589" s="1"/>
      <c r="C1589" s="1"/>
      <c r="D1589" s="1"/>
      <c r="E1589" s="8"/>
      <c r="F1589" s="5"/>
    </row>
    <row r="1590" spans="2:6">
      <c r="B1590" s="1"/>
      <c r="C1590" s="1"/>
      <c r="D1590" s="1"/>
      <c r="E1590" s="8"/>
      <c r="F1590" s="5"/>
    </row>
    <row r="1591" spans="2:6">
      <c r="B1591" s="1"/>
      <c r="C1591" s="1"/>
      <c r="D1591" s="1"/>
      <c r="E1591" s="8"/>
      <c r="F1591" s="5"/>
    </row>
    <row r="1592" spans="2:6">
      <c r="B1592" s="1"/>
      <c r="C1592" s="1"/>
      <c r="D1592" s="1"/>
      <c r="E1592" s="8"/>
      <c r="F1592" s="5"/>
    </row>
    <row r="1593" spans="2:6">
      <c r="B1593" s="1"/>
      <c r="C1593" s="1"/>
      <c r="D1593" s="1"/>
      <c r="E1593" s="8"/>
      <c r="F1593" s="5"/>
    </row>
    <row r="1594" spans="2:6">
      <c r="B1594" s="1"/>
      <c r="C1594" s="1"/>
      <c r="D1594" s="1"/>
      <c r="E1594" s="8"/>
      <c r="F1594" s="5"/>
    </row>
    <row r="1595" spans="2:6">
      <c r="B1595" s="1"/>
      <c r="C1595" s="1"/>
      <c r="D1595" s="1"/>
      <c r="E1595" s="8"/>
      <c r="F1595" s="5"/>
    </row>
    <row r="1596" spans="2:6">
      <c r="B1596" s="1"/>
      <c r="C1596" s="1"/>
      <c r="D1596" s="1"/>
      <c r="E1596" s="8"/>
      <c r="F1596" s="5"/>
    </row>
    <row r="1597" spans="2:6">
      <c r="B1597" s="1"/>
      <c r="C1597" s="1"/>
      <c r="D1597" s="1"/>
      <c r="E1597" s="8"/>
      <c r="F1597" s="5"/>
    </row>
    <row r="1598" spans="2:6">
      <c r="B1598" s="1"/>
      <c r="C1598" s="1"/>
      <c r="D1598" s="1"/>
      <c r="E1598" s="8"/>
      <c r="F1598" s="5"/>
    </row>
    <row r="1599" spans="2:6">
      <c r="B1599" s="1"/>
      <c r="C1599" s="1"/>
      <c r="D1599" s="1"/>
      <c r="E1599" s="8"/>
      <c r="F1599" s="5"/>
    </row>
    <row r="1600" spans="2:6">
      <c r="B1600" s="1"/>
      <c r="C1600" s="1"/>
      <c r="D1600" s="1"/>
      <c r="E1600" s="8"/>
      <c r="F1600" s="5"/>
    </row>
    <row r="1601" spans="2:6">
      <c r="B1601" s="1"/>
      <c r="C1601" s="1"/>
      <c r="D1601" s="1"/>
      <c r="E1601" s="8"/>
      <c r="F1601" s="5"/>
    </row>
    <row r="1602" spans="2:6">
      <c r="B1602" s="1"/>
      <c r="C1602" s="1"/>
      <c r="D1602" s="1"/>
      <c r="E1602" s="8"/>
      <c r="F1602" s="5"/>
    </row>
    <row r="1603" spans="2:6">
      <c r="B1603" s="1"/>
      <c r="C1603" s="1"/>
      <c r="D1603" s="1"/>
      <c r="E1603" s="8"/>
      <c r="F1603" s="5"/>
    </row>
    <row r="1604" spans="2:6">
      <c r="B1604" s="1"/>
      <c r="C1604" s="1"/>
      <c r="D1604" s="1"/>
      <c r="E1604" s="8"/>
      <c r="F1604" s="5"/>
    </row>
    <row r="1605" spans="2:6">
      <c r="B1605" s="1"/>
      <c r="C1605" s="1"/>
      <c r="D1605" s="1"/>
      <c r="E1605" s="8"/>
      <c r="F1605" s="5"/>
    </row>
    <row r="1606" spans="2:6">
      <c r="B1606" s="1"/>
      <c r="C1606" s="1"/>
      <c r="D1606" s="1"/>
      <c r="E1606" s="8"/>
      <c r="F1606" s="5"/>
    </row>
    <row r="1607" spans="2:6">
      <c r="B1607" s="1"/>
      <c r="C1607" s="1"/>
      <c r="D1607" s="1"/>
      <c r="E1607" s="8"/>
      <c r="F1607" s="5"/>
    </row>
    <row r="1608" spans="2:6">
      <c r="B1608" s="1"/>
      <c r="C1608" s="1"/>
      <c r="D1608" s="1"/>
      <c r="E1608" s="8"/>
      <c r="F1608" s="5"/>
    </row>
    <row r="1609" spans="2:6">
      <c r="B1609" s="1"/>
      <c r="C1609" s="1"/>
      <c r="D1609" s="1"/>
      <c r="E1609" s="8"/>
      <c r="F1609" s="5"/>
    </row>
    <row r="1610" spans="2:6">
      <c r="B1610" s="1"/>
      <c r="C1610" s="1"/>
      <c r="D1610" s="1"/>
      <c r="E1610" s="8"/>
      <c r="F1610" s="5"/>
    </row>
    <row r="1611" spans="2:6">
      <c r="B1611" s="1"/>
      <c r="C1611" s="1"/>
      <c r="D1611" s="1"/>
      <c r="E1611" s="8"/>
      <c r="F1611" s="5"/>
    </row>
    <row r="1612" spans="2:6">
      <c r="B1612" s="1"/>
      <c r="C1612" s="1"/>
      <c r="D1612" s="1"/>
      <c r="E1612" s="8"/>
      <c r="F1612" s="5"/>
    </row>
    <row r="1613" spans="2:6">
      <c r="B1613" s="1"/>
      <c r="C1613" s="1"/>
      <c r="D1613" s="1"/>
      <c r="E1613" s="8"/>
      <c r="F1613" s="5"/>
    </row>
    <row r="1614" spans="2:6">
      <c r="B1614" s="1"/>
      <c r="C1614" s="1"/>
      <c r="D1614" s="1"/>
      <c r="E1614" s="8"/>
      <c r="F1614" s="5"/>
    </row>
    <row r="1615" spans="2:6">
      <c r="B1615" s="1"/>
      <c r="C1615" s="1"/>
      <c r="D1615" s="1"/>
      <c r="E1615" s="8"/>
      <c r="F1615" s="5"/>
    </row>
    <row r="1616" spans="2:6">
      <c r="B1616" s="1"/>
      <c r="C1616" s="1"/>
      <c r="D1616" s="1"/>
      <c r="E1616" s="8"/>
      <c r="F1616" s="5"/>
    </row>
    <row r="1617" spans="2:6">
      <c r="B1617" s="1"/>
      <c r="C1617" s="1"/>
      <c r="D1617" s="1"/>
      <c r="E1617" s="8"/>
      <c r="F1617" s="5"/>
    </row>
    <row r="1618" spans="2:6">
      <c r="B1618" s="1"/>
      <c r="C1618" s="1"/>
      <c r="D1618" s="1"/>
      <c r="E1618" s="8"/>
      <c r="F1618" s="5"/>
    </row>
    <row r="1619" spans="2:6">
      <c r="B1619" s="1"/>
      <c r="C1619" s="1"/>
      <c r="D1619" s="1"/>
      <c r="E1619" s="8"/>
      <c r="F1619" s="5"/>
    </row>
    <row r="1620" spans="2:6">
      <c r="B1620" s="1"/>
      <c r="C1620" s="1"/>
      <c r="D1620" s="1"/>
      <c r="E1620" s="8"/>
      <c r="F1620" s="5"/>
    </row>
    <row r="1621" spans="2:6">
      <c r="B1621" s="1"/>
      <c r="C1621" s="1"/>
      <c r="D1621" s="1"/>
      <c r="E1621" s="8"/>
      <c r="F1621" s="5"/>
    </row>
    <row r="1622" spans="2:6">
      <c r="B1622" s="1"/>
      <c r="C1622" s="1"/>
      <c r="D1622" s="1"/>
      <c r="E1622" s="8"/>
      <c r="F1622" s="5"/>
    </row>
    <row r="1623" spans="2:6">
      <c r="B1623" s="1"/>
      <c r="C1623" s="1"/>
      <c r="D1623" s="1"/>
      <c r="E1623" s="8"/>
      <c r="F1623" s="5"/>
    </row>
    <row r="1624" spans="2:6">
      <c r="B1624" s="1"/>
      <c r="C1624" s="1"/>
      <c r="D1624" s="1"/>
      <c r="E1624" s="8"/>
      <c r="F1624" s="5"/>
    </row>
    <row r="1625" spans="2:6">
      <c r="B1625" s="1"/>
      <c r="C1625" s="1"/>
      <c r="D1625" s="1"/>
      <c r="E1625" s="8"/>
      <c r="F1625" s="5"/>
    </row>
    <row r="1626" spans="2:6">
      <c r="B1626" s="1"/>
      <c r="C1626" s="1"/>
      <c r="D1626" s="1"/>
      <c r="E1626" s="8"/>
      <c r="F1626" s="5"/>
    </row>
    <row r="1627" spans="2:6">
      <c r="B1627" s="1"/>
      <c r="C1627" s="1"/>
      <c r="D1627" s="1"/>
      <c r="E1627" s="8"/>
      <c r="F1627" s="5"/>
    </row>
    <row r="1628" spans="2:6">
      <c r="B1628" s="1"/>
      <c r="C1628" s="1"/>
      <c r="D1628" s="1"/>
      <c r="E1628" s="8"/>
      <c r="F1628" s="5"/>
    </row>
    <row r="1629" spans="2:6">
      <c r="B1629" s="1"/>
      <c r="C1629" s="1"/>
      <c r="D1629" s="1"/>
      <c r="E1629" s="8"/>
      <c r="F1629" s="5"/>
    </row>
    <row r="1630" spans="2:6">
      <c r="B1630" s="1"/>
      <c r="C1630" s="1"/>
      <c r="D1630" s="1"/>
      <c r="E1630" s="8"/>
      <c r="F1630" s="5"/>
    </row>
    <row r="1631" spans="2:6">
      <c r="B1631" s="1"/>
      <c r="C1631" s="1"/>
      <c r="D1631" s="1"/>
      <c r="E1631" s="8"/>
      <c r="F1631" s="5"/>
    </row>
    <row r="1632" spans="2:6">
      <c r="B1632" s="1"/>
      <c r="C1632" s="1"/>
      <c r="D1632" s="1"/>
      <c r="E1632" s="8"/>
      <c r="F1632" s="5"/>
    </row>
    <row r="1633" spans="2:6">
      <c r="B1633" s="1"/>
      <c r="C1633" s="1"/>
      <c r="D1633" s="1"/>
      <c r="E1633" s="8"/>
      <c r="F1633" s="5"/>
    </row>
    <row r="1634" spans="2:6">
      <c r="B1634" s="1"/>
      <c r="C1634" s="1"/>
      <c r="D1634" s="1"/>
      <c r="E1634" s="8"/>
      <c r="F1634" s="5"/>
    </row>
    <row r="1635" spans="2:6">
      <c r="B1635" s="1"/>
      <c r="C1635" s="1"/>
      <c r="D1635" s="1"/>
      <c r="E1635" s="8"/>
      <c r="F1635" s="5"/>
    </row>
    <row r="1636" spans="2:6">
      <c r="B1636" s="1"/>
      <c r="C1636" s="1"/>
      <c r="D1636" s="1"/>
      <c r="E1636" s="8"/>
      <c r="F1636" s="5"/>
    </row>
    <row r="1637" spans="2:6">
      <c r="B1637" s="1"/>
      <c r="C1637" s="1"/>
      <c r="D1637" s="1"/>
      <c r="E1637" s="8"/>
      <c r="F1637" s="5"/>
    </row>
    <row r="1638" spans="2:6">
      <c r="B1638" s="1"/>
      <c r="C1638" s="1"/>
      <c r="D1638" s="1"/>
      <c r="E1638" s="8"/>
      <c r="F1638" s="5"/>
    </row>
    <row r="1639" spans="2:6">
      <c r="B1639" s="1"/>
      <c r="C1639" s="1"/>
      <c r="D1639" s="1"/>
      <c r="E1639" s="8"/>
      <c r="F1639" s="5"/>
    </row>
    <row r="1640" spans="2:6">
      <c r="B1640" s="1"/>
      <c r="C1640" s="1"/>
      <c r="D1640" s="1"/>
      <c r="E1640" s="8"/>
      <c r="F1640" s="5"/>
    </row>
    <row r="1641" spans="2:6">
      <c r="B1641" s="1"/>
      <c r="C1641" s="1"/>
      <c r="D1641" s="1"/>
      <c r="E1641" s="8"/>
      <c r="F1641" s="5"/>
    </row>
    <row r="1642" spans="2:6">
      <c r="B1642" s="1"/>
      <c r="C1642" s="1"/>
      <c r="D1642" s="1"/>
      <c r="E1642" s="8"/>
      <c r="F1642" s="5"/>
    </row>
    <row r="1643" spans="2:6">
      <c r="B1643" s="1"/>
      <c r="C1643" s="1"/>
      <c r="D1643" s="1"/>
      <c r="E1643" s="8"/>
      <c r="F1643" s="5"/>
    </row>
    <row r="1644" spans="2:6">
      <c r="B1644" s="1"/>
      <c r="C1644" s="1"/>
      <c r="D1644" s="1"/>
      <c r="E1644" s="8"/>
      <c r="F1644" s="5"/>
    </row>
    <row r="1645" spans="2:6">
      <c r="B1645" s="1"/>
      <c r="C1645" s="1"/>
      <c r="D1645" s="1"/>
      <c r="E1645" s="8"/>
      <c r="F1645" s="5"/>
    </row>
    <row r="1646" spans="2:6">
      <c r="B1646" s="1"/>
      <c r="C1646" s="1"/>
      <c r="D1646" s="1"/>
      <c r="E1646" s="8"/>
      <c r="F1646" s="5"/>
    </row>
    <row r="1647" spans="2:6">
      <c r="B1647" s="1"/>
      <c r="C1647" s="1"/>
      <c r="D1647" s="1"/>
      <c r="E1647" s="8"/>
      <c r="F1647" s="5"/>
    </row>
    <row r="1648" spans="2:6">
      <c r="B1648" s="1"/>
      <c r="C1648" s="1"/>
      <c r="D1648" s="1"/>
      <c r="E1648" s="8"/>
      <c r="F1648" s="5"/>
    </row>
    <row r="1649" spans="2:6">
      <c r="B1649" s="1"/>
      <c r="C1649" s="1"/>
      <c r="D1649" s="1"/>
      <c r="E1649" s="8"/>
      <c r="F1649" s="5"/>
    </row>
    <row r="1650" spans="2:6">
      <c r="B1650" s="1"/>
      <c r="C1650" s="1"/>
      <c r="D1650" s="1"/>
      <c r="E1650" s="8"/>
      <c r="F1650" s="5"/>
    </row>
    <row r="1651" spans="2:6">
      <c r="B1651" s="1"/>
      <c r="C1651" s="1"/>
      <c r="D1651" s="1"/>
      <c r="E1651" s="8"/>
      <c r="F1651" s="5"/>
    </row>
    <row r="1652" spans="2:6">
      <c r="B1652" s="1"/>
      <c r="C1652" s="1"/>
      <c r="D1652" s="1"/>
      <c r="E1652" s="8"/>
      <c r="F1652" s="5"/>
    </row>
    <row r="1653" spans="2:6">
      <c r="B1653" s="1"/>
      <c r="C1653" s="1"/>
      <c r="D1653" s="1"/>
      <c r="E1653" s="8"/>
      <c r="F1653" s="5"/>
    </row>
    <row r="1654" spans="2:6">
      <c r="B1654" s="1"/>
      <c r="C1654" s="1"/>
      <c r="D1654" s="1"/>
      <c r="E1654" s="8"/>
      <c r="F1654" s="5"/>
    </row>
    <row r="1655" spans="2:6">
      <c r="B1655" s="1"/>
      <c r="C1655" s="1"/>
      <c r="D1655" s="1"/>
      <c r="E1655" s="8"/>
      <c r="F1655" s="5"/>
    </row>
    <row r="1656" spans="2:6">
      <c r="B1656" s="1"/>
      <c r="C1656" s="1"/>
      <c r="D1656" s="1"/>
      <c r="E1656" s="8"/>
      <c r="F1656" s="5"/>
    </row>
    <row r="1657" spans="2:6">
      <c r="B1657" s="1"/>
      <c r="C1657" s="1"/>
      <c r="D1657" s="1"/>
      <c r="E1657" s="8"/>
      <c r="F1657" s="5"/>
    </row>
    <row r="1658" spans="2:6">
      <c r="B1658" s="1"/>
      <c r="C1658" s="1"/>
      <c r="D1658" s="1"/>
      <c r="E1658" s="8"/>
      <c r="F1658" s="5"/>
    </row>
    <row r="1659" spans="2:6">
      <c r="B1659" s="1"/>
      <c r="C1659" s="1"/>
      <c r="D1659" s="1"/>
      <c r="E1659" s="8"/>
      <c r="F1659" s="5"/>
    </row>
    <row r="1660" spans="2:6">
      <c r="B1660" s="1"/>
      <c r="C1660" s="1"/>
      <c r="D1660" s="1"/>
      <c r="E1660" s="8"/>
      <c r="F1660" s="5"/>
    </row>
    <row r="1661" spans="2:6">
      <c r="B1661" s="1"/>
      <c r="C1661" s="1"/>
      <c r="D1661" s="1"/>
      <c r="E1661" s="8"/>
      <c r="F1661" s="5"/>
    </row>
    <row r="1662" spans="2:6">
      <c r="B1662" s="1"/>
      <c r="C1662" s="1"/>
      <c r="D1662" s="1"/>
      <c r="E1662" s="8"/>
      <c r="F1662" s="5"/>
    </row>
    <row r="1663" spans="2:6">
      <c r="B1663" s="1"/>
      <c r="C1663" s="1"/>
      <c r="D1663" s="1"/>
      <c r="E1663" s="8"/>
      <c r="F1663" s="5"/>
    </row>
    <row r="1664" spans="2:6">
      <c r="B1664" s="1"/>
      <c r="C1664" s="1"/>
      <c r="D1664" s="1"/>
      <c r="E1664" s="8"/>
      <c r="F1664" s="5"/>
    </row>
    <row r="1665" spans="2:6">
      <c r="B1665" s="1"/>
      <c r="C1665" s="1"/>
      <c r="D1665" s="1"/>
      <c r="E1665" s="8"/>
      <c r="F1665" s="5"/>
    </row>
    <row r="1666" spans="2:6">
      <c r="B1666" s="1"/>
      <c r="C1666" s="1"/>
      <c r="D1666" s="1"/>
      <c r="E1666" s="8"/>
      <c r="F1666" s="5"/>
    </row>
    <row r="1667" spans="2:6">
      <c r="B1667" s="1"/>
      <c r="C1667" s="1"/>
      <c r="D1667" s="1"/>
      <c r="E1667" s="8"/>
      <c r="F1667" s="5"/>
    </row>
    <row r="1668" spans="2:6">
      <c r="B1668" s="1"/>
      <c r="C1668" s="1"/>
      <c r="D1668" s="1"/>
      <c r="E1668" s="8"/>
      <c r="F1668" s="5"/>
    </row>
    <row r="1669" spans="2:6">
      <c r="B1669" s="1"/>
      <c r="C1669" s="1"/>
      <c r="D1669" s="1"/>
      <c r="E1669" s="8"/>
      <c r="F1669" s="5"/>
    </row>
    <row r="1670" spans="2:6">
      <c r="B1670" s="1"/>
      <c r="C1670" s="1"/>
      <c r="D1670" s="1"/>
      <c r="E1670" s="8"/>
      <c r="F1670" s="5"/>
    </row>
    <row r="1671" spans="2:6">
      <c r="B1671" s="1"/>
      <c r="C1671" s="1"/>
      <c r="D1671" s="1"/>
      <c r="E1671" s="8"/>
      <c r="F1671" s="5"/>
    </row>
    <row r="1672" spans="2:6">
      <c r="B1672" s="1"/>
      <c r="C1672" s="1"/>
      <c r="D1672" s="1"/>
      <c r="E1672" s="8"/>
      <c r="F1672" s="5"/>
    </row>
    <row r="1673" spans="2:6">
      <c r="B1673" s="1"/>
      <c r="C1673" s="1"/>
      <c r="D1673" s="1"/>
      <c r="E1673" s="8"/>
      <c r="F1673" s="5"/>
    </row>
    <row r="1674" spans="2:6">
      <c r="B1674" s="1"/>
      <c r="C1674" s="1"/>
      <c r="D1674" s="1"/>
      <c r="E1674" s="8"/>
      <c r="F1674" s="5"/>
    </row>
    <row r="1675" spans="2:6">
      <c r="B1675" s="1"/>
      <c r="C1675" s="1"/>
      <c r="D1675" s="1"/>
      <c r="E1675" s="8"/>
      <c r="F1675" s="5"/>
    </row>
    <row r="1676" spans="2:6">
      <c r="B1676" s="1"/>
      <c r="C1676" s="1"/>
      <c r="D1676" s="1"/>
      <c r="E1676" s="8"/>
      <c r="F1676" s="5"/>
    </row>
    <row r="1677" spans="2:6">
      <c r="B1677" s="1"/>
      <c r="C1677" s="1"/>
      <c r="D1677" s="1"/>
      <c r="E1677" s="8"/>
      <c r="F1677" s="5"/>
    </row>
    <row r="1678" spans="2:6">
      <c r="B1678" s="1"/>
      <c r="C1678" s="1"/>
      <c r="D1678" s="1"/>
      <c r="E1678" s="8"/>
      <c r="F1678" s="5"/>
    </row>
    <row r="1679" spans="2:6">
      <c r="B1679" s="1"/>
      <c r="C1679" s="1"/>
      <c r="D1679" s="1"/>
      <c r="E1679" s="8"/>
      <c r="F1679" s="5"/>
    </row>
    <row r="1680" spans="2:6">
      <c r="B1680" s="1"/>
      <c r="C1680" s="1"/>
      <c r="D1680" s="1"/>
      <c r="E1680" s="8"/>
      <c r="F1680" s="5"/>
    </row>
    <row r="1681" spans="2:6">
      <c r="B1681" s="1"/>
      <c r="C1681" s="1"/>
      <c r="D1681" s="1"/>
      <c r="E1681" s="8"/>
      <c r="F1681" s="5"/>
    </row>
    <row r="1682" spans="2:6">
      <c r="B1682" s="1"/>
      <c r="C1682" s="1"/>
      <c r="D1682" s="1"/>
      <c r="E1682" s="8"/>
      <c r="F1682" s="5"/>
    </row>
    <row r="1683" spans="2:6">
      <c r="B1683" s="1"/>
      <c r="C1683" s="1"/>
      <c r="D1683" s="1"/>
      <c r="E1683" s="8"/>
      <c r="F1683" s="5"/>
    </row>
    <row r="1684" spans="2:6">
      <c r="B1684" s="1"/>
      <c r="C1684" s="1"/>
      <c r="D1684" s="1"/>
      <c r="E1684" s="8"/>
      <c r="F1684" s="5"/>
    </row>
    <row r="1685" spans="2:6">
      <c r="B1685" s="1"/>
      <c r="C1685" s="1"/>
      <c r="D1685" s="1"/>
      <c r="E1685" s="8"/>
      <c r="F1685" s="5"/>
    </row>
    <row r="1686" spans="2:6">
      <c r="B1686" s="1"/>
      <c r="C1686" s="1"/>
      <c r="D1686" s="1"/>
      <c r="E1686" s="8"/>
      <c r="F1686" s="5"/>
    </row>
    <row r="1687" spans="2:6">
      <c r="B1687" s="1"/>
      <c r="C1687" s="1"/>
      <c r="D1687" s="1"/>
      <c r="E1687" s="8"/>
      <c r="F1687" s="5"/>
    </row>
    <row r="1688" spans="2:6">
      <c r="B1688" s="1"/>
      <c r="C1688" s="1"/>
      <c r="D1688" s="1"/>
      <c r="E1688" s="8"/>
      <c r="F1688" s="5"/>
    </row>
    <row r="1689" spans="2:6">
      <c r="B1689" s="1"/>
      <c r="C1689" s="1"/>
      <c r="D1689" s="1"/>
      <c r="E1689" s="8"/>
      <c r="F1689" s="5"/>
    </row>
    <row r="1690" spans="2:6">
      <c r="B1690" s="1"/>
      <c r="C1690" s="1"/>
      <c r="D1690" s="1"/>
      <c r="E1690" s="8"/>
      <c r="F1690" s="5"/>
    </row>
    <row r="1691" spans="2:6">
      <c r="B1691" s="1"/>
      <c r="C1691" s="1"/>
      <c r="D1691" s="1"/>
      <c r="E1691" s="8"/>
      <c r="F1691" s="5"/>
    </row>
    <row r="1692" spans="2:6">
      <c r="B1692" s="1"/>
      <c r="C1692" s="1"/>
      <c r="D1692" s="1"/>
      <c r="E1692" s="8"/>
      <c r="F1692" s="5"/>
    </row>
    <row r="1693" spans="2:6">
      <c r="B1693" s="1"/>
      <c r="C1693" s="1"/>
      <c r="D1693" s="1"/>
      <c r="E1693" s="8"/>
      <c r="F1693" s="5"/>
    </row>
    <row r="1694" spans="2:6">
      <c r="B1694" s="1"/>
      <c r="C1694" s="1"/>
      <c r="D1694" s="1"/>
      <c r="E1694" s="8"/>
      <c r="F1694" s="5"/>
    </row>
    <row r="1695" spans="2:6">
      <c r="B1695" s="1"/>
      <c r="C1695" s="1"/>
      <c r="D1695" s="1"/>
      <c r="E1695" s="8"/>
      <c r="F1695" s="5"/>
    </row>
    <row r="1696" spans="2:6">
      <c r="B1696" s="1"/>
      <c r="C1696" s="1"/>
      <c r="D1696" s="1"/>
      <c r="E1696" s="8"/>
      <c r="F1696" s="5"/>
    </row>
    <row r="1697" spans="2:6">
      <c r="B1697" s="1"/>
      <c r="C1697" s="1"/>
      <c r="D1697" s="1"/>
      <c r="E1697" s="8"/>
      <c r="F1697" s="5"/>
    </row>
    <row r="1698" spans="2:6">
      <c r="B1698" s="1"/>
      <c r="C1698" s="1"/>
      <c r="D1698" s="1"/>
      <c r="E1698" s="8"/>
      <c r="F1698" s="5"/>
    </row>
    <row r="1699" spans="2:6">
      <c r="B1699" s="1"/>
      <c r="C1699" s="1"/>
      <c r="D1699" s="1"/>
      <c r="E1699" s="8"/>
      <c r="F1699" s="5"/>
    </row>
    <row r="1700" spans="2:6">
      <c r="B1700" s="1"/>
      <c r="C1700" s="1"/>
      <c r="D1700" s="1"/>
      <c r="E1700" s="8"/>
      <c r="F1700" s="5"/>
    </row>
    <row r="1701" spans="2:6">
      <c r="B1701" s="1"/>
      <c r="C1701" s="1"/>
      <c r="D1701" s="1"/>
      <c r="E1701" s="8"/>
      <c r="F1701" s="5"/>
    </row>
    <row r="1702" spans="2:6">
      <c r="B1702" s="1"/>
      <c r="C1702" s="1"/>
      <c r="D1702" s="1"/>
      <c r="E1702" s="8"/>
      <c r="F1702" s="5"/>
    </row>
    <row r="1703" spans="2:6">
      <c r="B1703" s="1"/>
      <c r="C1703" s="1"/>
      <c r="D1703" s="1"/>
      <c r="E1703" s="8"/>
      <c r="F1703" s="5"/>
    </row>
    <row r="1704" spans="2:6">
      <c r="B1704" s="1"/>
      <c r="C1704" s="1"/>
      <c r="D1704" s="1"/>
      <c r="E1704" s="8"/>
      <c r="F1704" s="5"/>
    </row>
    <row r="1705" spans="2:6">
      <c r="B1705" s="1"/>
      <c r="C1705" s="1"/>
      <c r="D1705" s="1"/>
      <c r="E1705" s="8"/>
      <c r="F1705" s="5"/>
    </row>
    <row r="1706" spans="2:6">
      <c r="B1706" s="1"/>
      <c r="C1706" s="1"/>
      <c r="D1706" s="1"/>
      <c r="E1706" s="8"/>
      <c r="F1706" s="5"/>
    </row>
    <row r="1707" spans="2:6">
      <c r="B1707" s="1"/>
      <c r="C1707" s="1"/>
      <c r="D1707" s="1"/>
      <c r="E1707" s="8"/>
      <c r="F1707" s="5"/>
    </row>
    <row r="1708" spans="2:6">
      <c r="B1708" s="1"/>
      <c r="C1708" s="1"/>
      <c r="D1708" s="1"/>
      <c r="E1708" s="8"/>
      <c r="F1708" s="5"/>
    </row>
    <row r="1709" spans="2:6">
      <c r="B1709" s="1"/>
      <c r="C1709" s="1"/>
      <c r="D1709" s="1"/>
      <c r="E1709" s="8"/>
      <c r="F1709" s="5"/>
    </row>
    <row r="1710" spans="2:6">
      <c r="B1710" s="1"/>
      <c r="C1710" s="1"/>
      <c r="D1710" s="1"/>
      <c r="E1710" s="8"/>
      <c r="F1710" s="5"/>
    </row>
    <row r="1711" spans="2:6">
      <c r="B1711" s="1"/>
      <c r="C1711" s="1"/>
      <c r="D1711" s="1"/>
      <c r="E1711" s="8"/>
      <c r="F1711" s="5"/>
    </row>
    <row r="1712" spans="2:6">
      <c r="B1712" s="1"/>
      <c r="C1712" s="1"/>
      <c r="D1712" s="1"/>
      <c r="E1712" s="8"/>
      <c r="F1712" s="5"/>
    </row>
    <row r="1713" spans="2:6">
      <c r="B1713" s="1"/>
      <c r="C1713" s="1"/>
      <c r="D1713" s="1"/>
      <c r="E1713" s="8"/>
      <c r="F1713" s="5"/>
    </row>
    <row r="1714" spans="2:6">
      <c r="B1714" s="1"/>
      <c r="C1714" s="1"/>
      <c r="D1714" s="1"/>
      <c r="E1714" s="8"/>
      <c r="F1714" s="5"/>
    </row>
    <row r="1715" spans="2:6">
      <c r="B1715" s="1"/>
      <c r="C1715" s="1"/>
      <c r="D1715" s="1"/>
      <c r="E1715" s="8"/>
      <c r="F1715" s="5"/>
    </row>
    <row r="1716" spans="2:6">
      <c r="B1716" s="1"/>
      <c r="C1716" s="1"/>
      <c r="D1716" s="1"/>
      <c r="E1716" s="8"/>
      <c r="F1716" s="5"/>
    </row>
    <row r="1717" spans="2:6">
      <c r="B1717" s="1"/>
      <c r="C1717" s="1"/>
      <c r="D1717" s="1"/>
      <c r="E1717" s="8"/>
      <c r="F1717" s="5"/>
    </row>
    <row r="1718" spans="2:6">
      <c r="B1718" s="1"/>
      <c r="C1718" s="1"/>
      <c r="D1718" s="1"/>
      <c r="E1718" s="8"/>
      <c r="F1718" s="5"/>
    </row>
    <row r="1719" spans="2:6">
      <c r="B1719" s="1"/>
      <c r="C1719" s="1"/>
      <c r="D1719" s="1"/>
      <c r="E1719" s="8"/>
      <c r="F1719" s="5"/>
    </row>
    <row r="1720" spans="2:6">
      <c r="B1720" s="1"/>
      <c r="C1720" s="1"/>
      <c r="D1720" s="1"/>
      <c r="E1720" s="8"/>
      <c r="F1720" s="5"/>
    </row>
    <row r="1721" spans="2:6">
      <c r="B1721" s="1"/>
      <c r="C1721" s="1"/>
      <c r="D1721" s="1"/>
      <c r="E1721" s="8"/>
      <c r="F1721" s="5"/>
    </row>
    <row r="1722" spans="2:6">
      <c r="B1722" s="1"/>
      <c r="C1722" s="1"/>
      <c r="D1722" s="1"/>
      <c r="E1722" s="8"/>
      <c r="F1722" s="5"/>
    </row>
    <row r="1723" spans="2:6">
      <c r="B1723" s="1"/>
      <c r="C1723" s="1"/>
      <c r="D1723" s="1"/>
      <c r="E1723" s="8"/>
      <c r="F1723" s="5"/>
    </row>
    <row r="1724" spans="2:6">
      <c r="B1724" s="1"/>
      <c r="C1724" s="1"/>
      <c r="D1724" s="1"/>
      <c r="E1724" s="8"/>
      <c r="F1724" s="5"/>
    </row>
    <row r="1725" spans="2:6">
      <c r="B1725" s="1"/>
      <c r="C1725" s="1"/>
      <c r="D1725" s="1"/>
      <c r="E1725" s="8"/>
      <c r="F1725" s="5"/>
    </row>
    <row r="1726" spans="2:6">
      <c r="B1726" s="1"/>
      <c r="C1726" s="1"/>
      <c r="D1726" s="1"/>
      <c r="E1726" s="8"/>
      <c r="F1726" s="5"/>
    </row>
    <row r="1727" spans="2:6">
      <c r="B1727" s="1"/>
      <c r="C1727" s="1"/>
      <c r="D1727" s="1"/>
      <c r="E1727" s="8"/>
      <c r="F1727" s="5"/>
    </row>
    <row r="1728" spans="2:6">
      <c r="B1728" s="1"/>
      <c r="C1728" s="1"/>
      <c r="D1728" s="1"/>
      <c r="E1728" s="8"/>
      <c r="F1728" s="5"/>
    </row>
    <row r="1729" spans="2:6">
      <c r="B1729" s="1"/>
      <c r="C1729" s="1"/>
      <c r="D1729" s="1"/>
      <c r="E1729" s="8"/>
      <c r="F1729" s="5"/>
    </row>
    <row r="1730" spans="2:6">
      <c r="B1730" s="1"/>
      <c r="C1730" s="1"/>
      <c r="D1730" s="1"/>
      <c r="E1730" s="8"/>
      <c r="F1730" s="5"/>
    </row>
    <row r="1731" spans="2:6">
      <c r="B1731" s="1"/>
      <c r="C1731" s="1"/>
      <c r="D1731" s="1"/>
      <c r="E1731" s="8"/>
      <c r="F1731" s="5"/>
    </row>
    <row r="1732" spans="2:6">
      <c r="B1732" s="1"/>
      <c r="C1732" s="1"/>
      <c r="D1732" s="1"/>
      <c r="E1732" s="8"/>
      <c r="F1732" s="5"/>
    </row>
    <row r="1733" spans="2:6">
      <c r="B1733" s="1"/>
      <c r="C1733" s="1"/>
      <c r="D1733" s="1"/>
      <c r="E1733" s="8"/>
      <c r="F1733" s="5"/>
    </row>
    <row r="1734" spans="2:6">
      <c r="B1734" s="1"/>
      <c r="C1734" s="1"/>
      <c r="D1734" s="1"/>
      <c r="E1734" s="8"/>
      <c r="F1734" s="5"/>
    </row>
    <row r="1735" spans="2:6">
      <c r="B1735" s="1"/>
      <c r="C1735" s="1"/>
      <c r="D1735" s="1"/>
      <c r="E1735" s="8"/>
      <c r="F1735" s="5"/>
    </row>
    <row r="1736" spans="2:6">
      <c r="B1736" s="1"/>
      <c r="C1736" s="1"/>
      <c r="D1736" s="1"/>
      <c r="E1736" s="8"/>
      <c r="F1736" s="5"/>
    </row>
    <row r="1737" spans="2:6">
      <c r="B1737" s="1"/>
      <c r="C1737" s="1"/>
      <c r="D1737" s="1"/>
      <c r="E1737" s="8"/>
      <c r="F1737" s="5"/>
    </row>
    <row r="1738" spans="2:6">
      <c r="B1738" s="1"/>
      <c r="C1738" s="1"/>
      <c r="D1738" s="1"/>
      <c r="E1738" s="8"/>
      <c r="F1738" s="5"/>
    </row>
    <row r="1739" spans="2:6">
      <c r="B1739" s="1"/>
      <c r="C1739" s="1"/>
      <c r="D1739" s="1"/>
      <c r="E1739" s="8"/>
      <c r="F1739" s="5"/>
    </row>
    <row r="1740" spans="2:6">
      <c r="B1740" s="1"/>
      <c r="C1740" s="1"/>
      <c r="D1740" s="1"/>
      <c r="E1740" s="8"/>
      <c r="F1740" s="5"/>
    </row>
    <row r="1741" spans="2:6">
      <c r="B1741" s="1"/>
      <c r="C1741" s="1"/>
      <c r="D1741" s="1"/>
      <c r="E1741" s="8"/>
      <c r="F1741" s="5"/>
    </row>
    <row r="1742" spans="2:6">
      <c r="B1742" s="1"/>
      <c r="C1742" s="1"/>
      <c r="D1742" s="1"/>
      <c r="E1742" s="8"/>
      <c r="F1742" s="5"/>
    </row>
    <row r="1743" spans="2:6">
      <c r="B1743" s="1"/>
      <c r="C1743" s="1"/>
      <c r="D1743" s="1"/>
      <c r="E1743" s="8"/>
      <c r="F1743" s="5"/>
    </row>
    <row r="1744" spans="2:6">
      <c r="B1744" s="1"/>
      <c r="C1744" s="1"/>
      <c r="D1744" s="1"/>
      <c r="E1744" s="8"/>
      <c r="F1744" s="5"/>
    </row>
    <row r="1745" spans="2:6">
      <c r="B1745" s="1"/>
      <c r="C1745" s="1"/>
      <c r="D1745" s="1"/>
      <c r="E1745" s="8"/>
      <c r="F1745" s="5"/>
    </row>
    <row r="1746" spans="2:6">
      <c r="B1746" s="1"/>
      <c r="C1746" s="1"/>
      <c r="D1746" s="1"/>
      <c r="E1746" s="8"/>
      <c r="F1746" s="5"/>
    </row>
    <row r="1747" spans="2:6">
      <c r="B1747" s="1"/>
      <c r="C1747" s="1"/>
      <c r="D1747" s="1"/>
      <c r="E1747" s="8"/>
      <c r="F1747" s="5"/>
    </row>
    <row r="1748" spans="2:6">
      <c r="B1748" s="1"/>
      <c r="C1748" s="1"/>
      <c r="D1748" s="1"/>
      <c r="E1748" s="8"/>
      <c r="F1748" s="5"/>
    </row>
    <row r="1749" spans="2:6">
      <c r="B1749" s="1"/>
      <c r="C1749" s="1"/>
      <c r="D1749" s="1"/>
      <c r="E1749" s="8"/>
      <c r="F1749" s="5"/>
    </row>
    <row r="1750" spans="2:6">
      <c r="B1750" s="1"/>
      <c r="C1750" s="1"/>
      <c r="D1750" s="1"/>
      <c r="E1750" s="8"/>
      <c r="F1750" s="5"/>
    </row>
    <row r="1751" spans="2:6">
      <c r="B1751" s="1"/>
      <c r="C1751" s="1"/>
      <c r="D1751" s="1"/>
      <c r="E1751" s="8"/>
      <c r="F1751" s="5"/>
    </row>
    <row r="1752" spans="2:6">
      <c r="B1752" s="1"/>
      <c r="C1752" s="1"/>
      <c r="D1752" s="1"/>
      <c r="E1752" s="8"/>
      <c r="F1752" s="5"/>
    </row>
    <row r="1753" spans="2:6">
      <c r="B1753" s="1"/>
      <c r="C1753" s="1"/>
      <c r="D1753" s="1"/>
      <c r="E1753" s="8"/>
      <c r="F1753" s="5"/>
    </row>
    <row r="1754" spans="2:6">
      <c r="B1754" s="1"/>
      <c r="C1754" s="1"/>
      <c r="D1754" s="1"/>
      <c r="E1754" s="8"/>
      <c r="F1754" s="5"/>
    </row>
    <row r="1755" spans="2:6">
      <c r="B1755" s="1"/>
      <c r="C1755" s="1"/>
      <c r="D1755" s="1"/>
      <c r="E1755" s="8"/>
      <c r="F1755" s="5"/>
    </row>
    <row r="1756" spans="2:6">
      <c r="B1756" s="1"/>
      <c r="C1756" s="1"/>
      <c r="D1756" s="1"/>
      <c r="E1756" s="8"/>
      <c r="F1756" s="5"/>
    </row>
    <row r="1757" spans="2:6">
      <c r="B1757" s="1"/>
      <c r="C1757" s="1"/>
      <c r="D1757" s="1"/>
      <c r="E1757" s="8"/>
      <c r="F1757" s="5"/>
    </row>
    <row r="1758" spans="2:6">
      <c r="B1758" s="1"/>
      <c r="C1758" s="1"/>
      <c r="D1758" s="1"/>
      <c r="E1758" s="8"/>
      <c r="F1758" s="5"/>
    </row>
    <row r="1759" spans="2:6">
      <c r="B1759" s="1"/>
      <c r="C1759" s="1"/>
      <c r="D1759" s="1"/>
      <c r="E1759" s="8"/>
      <c r="F1759" s="5"/>
    </row>
    <row r="1760" spans="2:6">
      <c r="B1760" s="1"/>
      <c r="C1760" s="1"/>
      <c r="D1760" s="1"/>
      <c r="E1760" s="8"/>
      <c r="F1760" s="5"/>
    </row>
    <row r="1761" spans="2:6">
      <c r="B1761" s="1"/>
      <c r="C1761" s="1"/>
      <c r="D1761" s="1"/>
      <c r="E1761" s="8"/>
      <c r="F1761" s="5"/>
    </row>
    <row r="1762" spans="2:6">
      <c r="B1762" s="1"/>
      <c r="C1762" s="1"/>
      <c r="D1762" s="1"/>
      <c r="E1762" s="8"/>
      <c r="F1762" s="5"/>
    </row>
    <row r="1763" spans="2:6">
      <c r="B1763" s="1"/>
      <c r="C1763" s="1"/>
      <c r="D1763" s="1"/>
      <c r="E1763" s="8"/>
      <c r="F1763" s="5"/>
    </row>
    <row r="1764" spans="2:6">
      <c r="B1764" s="1"/>
      <c r="C1764" s="1"/>
      <c r="D1764" s="1"/>
      <c r="E1764" s="8"/>
      <c r="F1764" s="5"/>
    </row>
    <row r="1765" spans="2:6">
      <c r="B1765" s="1"/>
      <c r="C1765" s="1"/>
      <c r="D1765" s="1"/>
      <c r="E1765" s="8"/>
      <c r="F1765" s="5"/>
    </row>
    <row r="1766" spans="2:6">
      <c r="B1766" s="1"/>
      <c r="C1766" s="1"/>
      <c r="D1766" s="1"/>
      <c r="E1766" s="8"/>
      <c r="F1766" s="5"/>
    </row>
    <row r="1767" spans="2:6">
      <c r="B1767" s="1"/>
      <c r="C1767" s="1"/>
      <c r="D1767" s="1"/>
      <c r="E1767" s="8"/>
      <c r="F1767" s="5"/>
    </row>
    <row r="1768" spans="2:6">
      <c r="B1768" s="1"/>
      <c r="C1768" s="1"/>
      <c r="D1768" s="1"/>
      <c r="E1768" s="8"/>
      <c r="F1768" s="5"/>
    </row>
    <row r="1769" spans="2:6">
      <c r="B1769" s="1"/>
      <c r="C1769" s="1"/>
      <c r="D1769" s="1"/>
      <c r="E1769" s="8"/>
      <c r="F1769" s="5"/>
    </row>
    <row r="1770" spans="2:6">
      <c r="B1770" s="1"/>
      <c r="C1770" s="1"/>
      <c r="D1770" s="1"/>
      <c r="E1770" s="8"/>
      <c r="F1770" s="5"/>
    </row>
    <row r="1771" spans="2:6">
      <c r="B1771" s="1"/>
      <c r="C1771" s="1"/>
      <c r="D1771" s="1"/>
      <c r="E1771" s="8"/>
      <c r="F1771" s="5"/>
    </row>
    <row r="1772" spans="2:6">
      <c r="B1772" s="1"/>
      <c r="C1772" s="1"/>
      <c r="D1772" s="1"/>
      <c r="E1772" s="8"/>
      <c r="F1772" s="5"/>
    </row>
    <row r="1773" spans="2:6">
      <c r="B1773" s="1"/>
      <c r="C1773" s="1"/>
      <c r="D1773" s="1"/>
      <c r="E1773" s="8"/>
      <c r="F1773" s="5"/>
    </row>
    <row r="1774" spans="2:6">
      <c r="B1774" s="1"/>
      <c r="C1774" s="1"/>
      <c r="D1774" s="1"/>
      <c r="E1774" s="8"/>
      <c r="F1774" s="5"/>
    </row>
    <row r="1775" spans="2:6">
      <c r="B1775" s="1"/>
      <c r="C1775" s="1"/>
      <c r="D1775" s="1"/>
      <c r="E1775" s="8"/>
      <c r="F1775" s="5"/>
    </row>
    <row r="1776" spans="2:6">
      <c r="B1776" s="1"/>
      <c r="C1776" s="1"/>
      <c r="D1776" s="1"/>
      <c r="E1776" s="8"/>
      <c r="F1776" s="5"/>
    </row>
    <row r="1777" spans="2:6">
      <c r="B1777" s="1"/>
      <c r="C1777" s="1"/>
      <c r="D1777" s="1"/>
      <c r="E1777" s="8"/>
      <c r="F1777" s="5"/>
    </row>
    <row r="1778" spans="2:6">
      <c r="B1778" s="1"/>
      <c r="C1778" s="1"/>
      <c r="D1778" s="1"/>
      <c r="E1778" s="8"/>
      <c r="F1778" s="5"/>
    </row>
    <row r="1779" spans="2:6">
      <c r="B1779" s="1"/>
      <c r="C1779" s="1"/>
      <c r="D1779" s="1"/>
      <c r="E1779" s="8"/>
      <c r="F1779" s="5"/>
    </row>
    <row r="1780" spans="2:6">
      <c r="B1780" s="1"/>
      <c r="C1780" s="1"/>
      <c r="D1780" s="1"/>
      <c r="E1780" s="8"/>
      <c r="F1780" s="5"/>
    </row>
    <row r="1781" spans="2:6">
      <c r="B1781" s="1"/>
      <c r="C1781" s="1"/>
      <c r="D1781" s="1"/>
      <c r="E1781" s="8"/>
      <c r="F1781" s="5"/>
    </row>
    <row r="1782" spans="2:6">
      <c r="B1782" s="1"/>
      <c r="C1782" s="1"/>
      <c r="D1782" s="1"/>
      <c r="E1782" s="8"/>
      <c r="F1782" s="5"/>
    </row>
    <row r="1783" spans="2:6">
      <c r="B1783" s="1"/>
      <c r="C1783" s="1"/>
      <c r="D1783" s="1"/>
      <c r="E1783" s="8"/>
      <c r="F1783" s="5"/>
    </row>
    <row r="1784" spans="2:6">
      <c r="B1784" s="1"/>
      <c r="C1784" s="1"/>
      <c r="D1784" s="1"/>
      <c r="E1784" s="8"/>
      <c r="F1784" s="5"/>
    </row>
    <row r="1785" spans="2:6">
      <c r="B1785" s="1"/>
      <c r="C1785" s="1"/>
      <c r="D1785" s="1"/>
      <c r="E1785" s="8"/>
      <c r="F1785" s="5"/>
    </row>
    <row r="1786" spans="2:6">
      <c r="B1786" s="1"/>
      <c r="C1786" s="1"/>
      <c r="D1786" s="1"/>
      <c r="E1786" s="8"/>
      <c r="F1786" s="5"/>
    </row>
    <row r="1787" spans="2:6">
      <c r="B1787" s="1"/>
      <c r="C1787" s="1"/>
      <c r="D1787" s="1"/>
      <c r="E1787" s="8"/>
      <c r="F1787" s="5"/>
    </row>
    <row r="1788" spans="2:6">
      <c r="B1788" s="1"/>
      <c r="C1788" s="1"/>
      <c r="D1788" s="1"/>
      <c r="E1788" s="8"/>
      <c r="F1788" s="5"/>
    </row>
    <row r="1789" spans="2:6">
      <c r="B1789" s="1"/>
      <c r="C1789" s="1"/>
      <c r="D1789" s="1"/>
      <c r="E1789" s="8"/>
      <c r="F1789" s="5"/>
    </row>
    <row r="1790" spans="2:6">
      <c r="B1790" s="1"/>
      <c r="C1790" s="1"/>
      <c r="D1790" s="1"/>
      <c r="E1790" s="8"/>
      <c r="F1790" s="5"/>
    </row>
    <row r="1791" spans="2:6">
      <c r="B1791" s="1"/>
      <c r="C1791" s="1"/>
      <c r="D1791" s="1"/>
      <c r="E1791" s="8"/>
      <c r="F1791" s="5"/>
    </row>
    <row r="1792" spans="2:6">
      <c r="B1792" s="1"/>
      <c r="C1792" s="1"/>
      <c r="D1792" s="1"/>
      <c r="E1792" s="8"/>
      <c r="F1792" s="5"/>
    </row>
    <row r="1793" spans="2:6">
      <c r="B1793" s="1"/>
      <c r="C1793" s="1"/>
      <c r="D1793" s="1"/>
      <c r="E1793" s="8"/>
      <c r="F1793" s="5"/>
    </row>
    <row r="1794" spans="2:6">
      <c r="B1794" s="1"/>
      <c r="C1794" s="1"/>
      <c r="D1794" s="1"/>
      <c r="E1794" s="8"/>
      <c r="F1794" s="5"/>
    </row>
    <row r="1795" spans="2:6">
      <c r="B1795" s="1"/>
      <c r="C1795" s="1"/>
      <c r="D1795" s="1"/>
      <c r="E1795" s="8"/>
      <c r="F1795" s="5"/>
    </row>
    <row r="1796" spans="2:6">
      <c r="B1796" s="1"/>
      <c r="C1796" s="1"/>
      <c r="D1796" s="1"/>
      <c r="E1796" s="8"/>
      <c r="F1796" s="5"/>
    </row>
    <row r="1797" spans="2:6">
      <c r="B1797" s="1"/>
      <c r="C1797" s="1"/>
      <c r="D1797" s="1"/>
      <c r="E1797" s="8"/>
      <c r="F1797" s="5"/>
    </row>
    <row r="1798" spans="2:6">
      <c r="B1798" s="1"/>
      <c r="C1798" s="1"/>
      <c r="D1798" s="1"/>
      <c r="E1798" s="8"/>
      <c r="F1798" s="5"/>
    </row>
    <row r="1799" spans="2:6">
      <c r="B1799" s="1"/>
      <c r="C1799" s="1"/>
      <c r="D1799" s="1"/>
      <c r="E1799" s="8"/>
      <c r="F1799" s="5"/>
    </row>
    <row r="1800" spans="2:6">
      <c r="B1800" s="1"/>
      <c r="C1800" s="1"/>
      <c r="D1800" s="1"/>
      <c r="E1800" s="8"/>
      <c r="F1800" s="5"/>
    </row>
    <row r="1801" spans="2:6">
      <c r="B1801" s="1"/>
      <c r="C1801" s="1"/>
      <c r="D1801" s="1"/>
      <c r="E1801" s="8"/>
      <c r="F1801" s="5"/>
    </row>
    <row r="1802" spans="2:6">
      <c r="B1802" s="1"/>
      <c r="C1802" s="1"/>
      <c r="D1802" s="1"/>
      <c r="E1802" s="8"/>
      <c r="F1802" s="5"/>
    </row>
    <row r="1803" spans="2:6">
      <c r="B1803" s="1"/>
      <c r="C1803" s="1"/>
      <c r="D1803" s="1"/>
      <c r="E1803" s="8"/>
      <c r="F1803" s="5"/>
    </row>
    <row r="1804" spans="2:6">
      <c r="B1804" s="1"/>
      <c r="C1804" s="1"/>
      <c r="D1804" s="1"/>
      <c r="E1804" s="8"/>
      <c r="F1804" s="5"/>
    </row>
    <row r="1805" spans="2:6">
      <c r="B1805" s="1"/>
      <c r="C1805" s="1"/>
      <c r="D1805" s="1"/>
      <c r="E1805" s="8"/>
      <c r="F1805" s="5"/>
    </row>
    <row r="1806" spans="2:6">
      <c r="B1806" s="1"/>
      <c r="C1806" s="1"/>
      <c r="D1806" s="1"/>
      <c r="E1806" s="8"/>
      <c r="F1806" s="5"/>
    </row>
    <row r="1807" spans="2:6">
      <c r="B1807" s="1"/>
      <c r="C1807" s="1"/>
      <c r="D1807" s="1"/>
      <c r="E1807" s="8"/>
      <c r="F1807" s="5"/>
    </row>
    <row r="1808" spans="2:6">
      <c r="B1808" s="1"/>
      <c r="C1808" s="1"/>
      <c r="D1808" s="1"/>
      <c r="E1808" s="8"/>
      <c r="F1808" s="5"/>
    </row>
    <row r="1809" spans="2:6">
      <c r="B1809" s="1"/>
      <c r="C1809" s="1"/>
      <c r="D1809" s="1"/>
      <c r="E1809" s="8"/>
      <c r="F1809" s="5"/>
    </row>
    <row r="1810" spans="2:6">
      <c r="B1810" s="1"/>
      <c r="C1810" s="1"/>
      <c r="D1810" s="1"/>
      <c r="E1810" s="8"/>
      <c r="F1810" s="5"/>
    </row>
    <row r="1811" spans="2:6">
      <c r="B1811" s="1"/>
      <c r="C1811" s="1"/>
      <c r="D1811" s="1"/>
      <c r="E1811" s="8"/>
      <c r="F1811" s="5"/>
    </row>
    <row r="1812" spans="2:6">
      <c r="B1812" s="1"/>
      <c r="C1812" s="1"/>
      <c r="D1812" s="1"/>
      <c r="E1812" s="8"/>
      <c r="F1812" s="5"/>
    </row>
    <row r="1813" spans="2:6">
      <c r="B1813" s="1"/>
      <c r="C1813" s="1"/>
      <c r="D1813" s="1"/>
      <c r="E1813" s="8"/>
      <c r="F1813" s="5"/>
    </row>
    <row r="1814" spans="2:6">
      <c r="B1814" s="1"/>
      <c r="C1814" s="1"/>
      <c r="D1814" s="1"/>
      <c r="E1814" s="8"/>
      <c r="F1814" s="5"/>
    </row>
    <row r="1815" spans="2:6">
      <c r="B1815" s="1"/>
      <c r="C1815" s="1"/>
      <c r="D1815" s="1"/>
      <c r="E1815" s="8"/>
      <c r="F1815" s="5"/>
    </row>
    <row r="1816" spans="2:6">
      <c r="B1816" s="1"/>
      <c r="C1816" s="1"/>
      <c r="D1816" s="1"/>
      <c r="E1816" s="8"/>
      <c r="F1816" s="5"/>
    </row>
    <row r="1817" spans="2:6">
      <c r="B1817" s="1"/>
      <c r="C1817" s="1"/>
      <c r="D1817" s="1"/>
      <c r="E1817" s="8"/>
      <c r="F1817" s="5"/>
    </row>
    <row r="1818" spans="2:6">
      <c r="B1818" s="1"/>
      <c r="C1818" s="1"/>
      <c r="D1818" s="1"/>
      <c r="E1818" s="8"/>
      <c r="F1818" s="5"/>
    </row>
    <row r="1819" spans="2:6">
      <c r="B1819" s="1"/>
      <c r="C1819" s="1"/>
      <c r="D1819" s="1"/>
      <c r="E1819" s="8"/>
      <c r="F1819" s="5"/>
    </row>
    <row r="1820" spans="2:6">
      <c r="B1820" s="1"/>
      <c r="C1820" s="1"/>
      <c r="D1820" s="1"/>
      <c r="E1820" s="8"/>
      <c r="F1820" s="5"/>
    </row>
    <row r="1821" spans="2:6">
      <c r="B1821" s="1"/>
      <c r="C1821" s="1"/>
      <c r="D1821" s="1"/>
      <c r="E1821" s="8"/>
      <c r="F1821" s="5"/>
    </row>
    <row r="1822" spans="2:6">
      <c r="B1822" s="1"/>
      <c r="C1822" s="1"/>
      <c r="D1822" s="1"/>
      <c r="E1822" s="8"/>
      <c r="F1822" s="5"/>
    </row>
    <row r="1823" spans="2:6">
      <c r="B1823" s="1"/>
      <c r="C1823" s="1"/>
      <c r="D1823" s="1"/>
      <c r="E1823" s="8"/>
      <c r="F1823" s="5"/>
    </row>
    <row r="1824" spans="2:6">
      <c r="B1824" s="1"/>
      <c r="C1824" s="1"/>
      <c r="D1824" s="1"/>
      <c r="E1824" s="8"/>
      <c r="F1824" s="5"/>
    </row>
    <row r="1825" spans="2:6">
      <c r="B1825" s="1"/>
      <c r="C1825" s="1"/>
      <c r="D1825" s="1"/>
      <c r="E1825" s="8"/>
      <c r="F1825" s="5"/>
    </row>
    <row r="1826" spans="2:6">
      <c r="B1826" s="1"/>
      <c r="C1826" s="1"/>
      <c r="D1826" s="1"/>
      <c r="E1826" s="8"/>
      <c r="F1826" s="5"/>
    </row>
    <row r="1827" spans="2:6">
      <c r="B1827" s="1"/>
      <c r="C1827" s="1"/>
      <c r="D1827" s="1"/>
      <c r="E1827" s="8"/>
      <c r="F1827" s="5"/>
    </row>
    <row r="1828" spans="2:6">
      <c r="B1828" s="1"/>
      <c r="C1828" s="1"/>
      <c r="D1828" s="1"/>
      <c r="E1828" s="8"/>
      <c r="F1828" s="5"/>
    </row>
    <row r="1829" spans="2:6">
      <c r="B1829" s="1"/>
      <c r="C1829" s="1"/>
      <c r="D1829" s="1"/>
      <c r="E1829" s="8"/>
      <c r="F1829" s="5"/>
    </row>
    <row r="1830" spans="2:6">
      <c r="B1830" s="1"/>
      <c r="C1830" s="1"/>
      <c r="D1830" s="1"/>
      <c r="E1830" s="8"/>
      <c r="F1830" s="5"/>
    </row>
    <row r="1831" spans="2:6">
      <c r="B1831" s="1"/>
      <c r="C1831" s="1"/>
      <c r="D1831" s="1"/>
      <c r="E1831" s="8"/>
      <c r="F1831" s="5"/>
    </row>
    <row r="1832" spans="2:6">
      <c r="B1832" s="1"/>
      <c r="C1832" s="1"/>
      <c r="D1832" s="1"/>
      <c r="E1832" s="8"/>
      <c r="F1832" s="5"/>
    </row>
    <row r="1833" spans="2:6">
      <c r="B1833" s="1"/>
      <c r="C1833" s="1"/>
      <c r="D1833" s="1"/>
      <c r="E1833" s="8"/>
      <c r="F1833" s="5"/>
    </row>
    <row r="1834" spans="2:6">
      <c r="B1834" s="1"/>
      <c r="C1834" s="1"/>
      <c r="D1834" s="1"/>
      <c r="E1834" s="8"/>
      <c r="F1834" s="5"/>
    </row>
    <row r="1835" spans="2:6">
      <c r="B1835" s="1"/>
      <c r="C1835" s="1"/>
      <c r="D1835" s="1"/>
      <c r="E1835" s="8"/>
      <c r="F1835" s="5"/>
    </row>
    <row r="1836" spans="2:6">
      <c r="B1836" s="1"/>
      <c r="C1836" s="1"/>
      <c r="D1836" s="1"/>
      <c r="E1836" s="8"/>
      <c r="F1836" s="5"/>
    </row>
    <row r="1837" spans="2:6">
      <c r="B1837" s="1"/>
      <c r="C1837" s="1"/>
      <c r="D1837" s="1"/>
      <c r="E1837" s="8"/>
      <c r="F1837" s="5"/>
    </row>
    <row r="1838" spans="2:6">
      <c r="B1838" s="1"/>
      <c r="C1838" s="1"/>
      <c r="D1838" s="1"/>
      <c r="E1838" s="8"/>
      <c r="F1838" s="5"/>
    </row>
    <row r="1839" spans="2:6">
      <c r="B1839" s="1"/>
      <c r="C1839" s="1"/>
      <c r="D1839" s="1"/>
      <c r="E1839" s="8"/>
      <c r="F1839" s="5"/>
    </row>
    <row r="1840" spans="2:6">
      <c r="B1840" s="1"/>
      <c r="C1840" s="1"/>
      <c r="D1840" s="1"/>
      <c r="E1840" s="8"/>
      <c r="F1840" s="5"/>
    </row>
    <row r="1841" spans="2:6">
      <c r="B1841" s="1"/>
      <c r="C1841" s="1"/>
      <c r="D1841" s="1"/>
      <c r="E1841" s="8"/>
      <c r="F1841" s="5"/>
    </row>
    <row r="1842" spans="2:6">
      <c r="B1842" s="1"/>
      <c r="C1842" s="1"/>
      <c r="D1842" s="1"/>
      <c r="E1842" s="8"/>
      <c r="F1842" s="5"/>
    </row>
    <row r="1843" spans="2:6">
      <c r="B1843" s="1"/>
      <c r="C1843" s="1"/>
      <c r="D1843" s="1"/>
      <c r="E1843" s="8"/>
      <c r="F1843" s="5"/>
    </row>
    <row r="1844" spans="2:6">
      <c r="B1844" s="1"/>
      <c r="C1844" s="1"/>
      <c r="D1844" s="1"/>
      <c r="E1844" s="8"/>
      <c r="F1844" s="5"/>
    </row>
    <row r="1845" spans="2:6">
      <c r="B1845" s="1"/>
      <c r="C1845" s="1"/>
      <c r="D1845" s="1"/>
      <c r="E1845" s="8"/>
      <c r="F1845" s="5"/>
    </row>
    <row r="1846" spans="2:6">
      <c r="B1846" s="1"/>
      <c r="C1846" s="1"/>
      <c r="D1846" s="1"/>
      <c r="E1846" s="8"/>
      <c r="F1846" s="5"/>
    </row>
    <row r="1847" spans="2:6">
      <c r="B1847" s="1"/>
      <c r="C1847" s="1"/>
      <c r="D1847" s="1"/>
      <c r="E1847" s="8"/>
      <c r="F1847" s="5"/>
    </row>
    <row r="1848" spans="2:6">
      <c r="B1848" s="1"/>
      <c r="C1848" s="1"/>
      <c r="D1848" s="1"/>
      <c r="E1848" s="8"/>
      <c r="F1848" s="5"/>
    </row>
    <row r="1849" spans="2:6">
      <c r="B1849" s="1"/>
      <c r="C1849" s="1"/>
      <c r="D1849" s="1"/>
      <c r="E1849" s="8"/>
      <c r="F1849" s="5"/>
    </row>
    <row r="1850" spans="2:6">
      <c r="B1850" s="1"/>
      <c r="C1850" s="1"/>
      <c r="D1850" s="1"/>
      <c r="E1850" s="8"/>
      <c r="F1850" s="5"/>
    </row>
    <row r="1851" spans="2:6">
      <c r="B1851" s="1"/>
      <c r="C1851" s="1"/>
      <c r="D1851" s="1"/>
      <c r="E1851" s="8"/>
      <c r="F1851" s="5"/>
    </row>
    <row r="1852" spans="2:6">
      <c r="B1852" s="1"/>
      <c r="C1852" s="1"/>
      <c r="D1852" s="1"/>
      <c r="E1852" s="8"/>
      <c r="F1852" s="5"/>
    </row>
    <row r="1853" spans="2:6">
      <c r="B1853" s="1"/>
      <c r="C1853" s="1"/>
      <c r="D1853" s="1"/>
      <c r="E1853" s="8"/>
      <c r="F1853" s="5"/>
    </row>
    <row r="1854" spans="2:6">
      <c r="B1854" s="1"/>
      <c r="C1854" s="1"/>
      <c r="D1854" s="1"/>
      <c r="E1854" s="8"/>
      <c r="F1854" s="5"/>
    </row>
    <row r="1855" spans="2:6">
      <c r="B1855" s="1"/>
      <c r="C1855" s="1"/>
      <c r="D1855" s="1"/>
      <c r="E1855" s="8"/>
      <c r="F1855" s="5"/>
    </row>
    <row r="1856" spans="2:6">
      <c r="B1856" s="1"/>
      <c r="C1856" s="1"/>
      <c r="D1856" s="1"/>
      <c r="E1856" s="8"/>
      <c r="F1856" s="5"/>
    </row>
    <row r="1857" spans="2:6">
      <c r="B1857" s="1"/>
      <c r="C1857" s="1"/>
      <c r="D1857" s="1"/>
      <c r="E1857" s="8"/>
      <c r="F1857" s="5"/>
    </row>
    <row r="1858" spans="2:6">
      <c r="B1858" s="1"/>
      <c r="C1858" s="1"/>
      <c r="D1858" s="1"/>
      <c r="E1858" s="8"/>
      <c r="F1858" s="5"/>
    </row>
    <row r="1859" spans="2:6">
      <c r="B1859" s="1"/>
      <c r="C1859" s="1"/>
      <c r="D1859" s="1"/>
      <c r="E1859" s="8"/>
      <c r="F1859" s="5"/>
    </row>
    <row r="1860" spans="2:6">
      <c r="B1860" s="1"/>
      <c r="C1860" s="1"/>
      <c r="D1860" s="1"/>
      <c r="E1860" s="8"/>
      <c r="F1860" s="5"/>
    </row>
    <row r="1861" spans="2:6">
      <c r="B1861" s="1"/>
      <c r="C1861" s="1"/>
      <c r="D1861" s="1"/>
      <c r="E1861" s="8"/>
      <c r="F1861" s="5"/>
    </row>
    <row r="1862" spans="2:6">
      <c r="B1862" s="1"/>
      <c r="C1862" s="1"/>
      <c r="D1862" s="1"/>
      <c r="E1862" s="8"/>
      <c r="F1862" s="5"/>
    </row>
    <row r="1863" spans="2:6">
      <c r="B1863" s="1"/>
      <c r="C1863" s="1"/>
      <c r="D1863" s="1"/>
      <c r="E1863" s="8"/>
      <c r="F1863" s="5"/>
    </row>
    <row r="1864" spans="2:6">
      <c r="B1864" s="1"/>
      <c r="C1864" s="1"/>
      <c r="D1864" s="1"/>
      <c r="E1864" s="8"/>
      <c r="F1864" s="5"/>
    </row>
    <row r="1865" spans="2:6">
      <c r="B1865" s="1"/>
      <c r="C1865" s="1"/>
      <c r="D1865" s="1"/>
      <c r="E1865" s="8"/>
      <c r="F1865" s="5"/>
    </row>
    <row r="1866" spans="2:6">
      <c r="B1866" s="1"/>
      <c r="C1866" s="1"/>
      <c r="D1866" s="1"/>
      <c r="E1866" s="8"/>
      <c r="F1866" s="5"/>
    </row>
    <row r="1867" spans="2:6">
      <c r="B1867" s="1"/>
      <c r="C1867" s="1"/>
      <c r="D1867" s="1"/>
      <c r="E1867" s="8"/>
      <c r="F1867" s="5"/>
    </row>
    <row r="1868" spans="2:6">
      <c r="B1868" s="1"/>
      <c r="C1868" s="1"/>
      <c r="D1868" s="1"/>
      <c r="E1868" s="8"/>
      <c r="F1868" s="5"/>
    </row>
    <row r="1869" spans="2:6">
      <c r="B1869" s="1"/>
      <c r="C1869" s="1"/>
      <c r="D1869" s="1"/>
      <c r="E1869" s="8"/>
      <c r="F1869" s="5"/>
    </row>
    <row r="1870" spans="2:6">
      <c r="B1870" s="1"/>
      <c r="C1870" s="1"/>
      <c r="D1870" s="1"/>
      <c r="E1870" s="8"/>
      <c r="F1870" s="5"/>
    </row>
    <row r="1871" spans="2:6">
      <c r="B1871" s="1"/>
      <c r="C1871" s="1"/>
      <c r="D1871" s="1"/>
      <c r="E1871" s="8"/>
      <c r="F1871" s="5"/>
    </row>
    <row r="1872" spans="2:6">
      <c r="B1872" s="1"/>
      <c r="C1872" s="1"/>
      <c r="D1872" s="1"/>
      <c r="E1872" s="8"/>
      <c r="F1872" s="5"/>
    </row>
    <row r="1873" spans="2:6">
      <c r="B1873" s="1"/>
      <c r="C1873" s="1"/>
      <c r="D1873" s="1"/>
      <c r="E1873" s="8"/>
      <c r="F1873" s="5"/>
    </row>
    <row r="1874" spans="2:6">
      <c r="B1874" s="1"/>
      <c r="C1874" s="1"/>
      <c r="D1874" s="1"/>
      <c r="E1874" s="8"/>
      <c r="F1874" s="5"/>
    </row>
    <row r="1875" spans="2:6">
      <c r="B1875" s="1"/>
      <c r="C1875" s="1"/>
      <c r="D1875" s="1"/>
      <c r="E1875" s="8"/>
      <c r="F1875" s="5"/>
    </row>
    <row r="1876" spans="2:6">
      <c r="B1876" s="1"/>
      <c r="C1876" s="1"/>
      <c r="D1876" s="1"/>
      <c r="E1876" s="8"/>
      <c r="F1876" s="5"/>
    </row>
    <row r="1877" spans="2:6">
      <c r="B1877" s="1"/>
      <c r="C1877" s="1"/>
      <c r="D1877" s="1"/>
      <c r="E1877" s="8"/>
      <c r="F1877" s="5"/>
    </row>
    <row r="1878" spans="2:6">
      <c r="B1878" s="1"/>
      <c r="C1878" s="1"/>
      <c r="D1878" s="1"/>
      <c r="E1878" s="8"/>
      <c r="F1878" s="5"/>
    </row>
    <row r="1879" spans="2:6">
      <c r="B1879" s="1"/>
      <c r="C1879" s="1"/>
      <c r="D1879" s="1"/>
      <c r="E1879" s="8"/>
      <c r="F1879" s="5"/>
    </row>
    <row r="1880" spans="2:6">
      <c r="B1880" s="1"/>
      <c r="C1880" s="1"/>
      <c r="D1880" s="1"/>
      <c r="E1880" s="8"/>
      <c r="F1880" s="5"/>
    </row>
    <row r="1881" spans="2:6">
      <c r="B1881" s="1"/>
      <c r="C1881" s="1"/>
      <c r="D1881" s="1"/>
      <c r="E1881" s="8"/>
      <c r="F1881" s="5"/>
    </row>
    <row r="1882" spans="2:6">
      <c r="B1882" s="1"/>
      <c r="C1882" s="1"/>
      <c r="D1882" s="1"/>
      <c r="E1882" s="8"/>
      <c r="F1882" s="5"/>
    </row>
    <row r="1883" spans="2:6">
      <c r="B1883" s="1"/>
      <c r="C1883" s="1"/>
      <c r="D1883" s="1"/>
      <c r="E1883" s="8"/>
      <c r="F1883" s="5"/>
    </row>
    <row r="1884" spans="2:6">
      <c r="B1884" s="1"/>
      <c r="C1884" s="1"/>
      <c r="D1884" s="1"/>
      <c r="E1884" s="8"/>
      <c r="F1884" s="5"/>
    </row>
    <row r="1885" spans="2:6">
      <c r="B1885" s="1"/>
      <c r="C1885" s="1"/>
      <c r="D1885" s="1"/>
      <c r="E1885" s="8"/>
      <c r="F1885" s="5"/>
    </row>
    <row r="1886" spans="2:6">
      <c r="B1886" s="1"/>
      <c r="C1886" s="1"/>
      <c r="D1886" s="1"/>
      <c r="E1886" s="8"/>
      <c r="F1886" s="5"/>
    </row>
    <row r="1887" spans="2:6">
      <c r="B1887" s="1"/>
      <c r="C1887" s="1"/>
      <c r="D1887" s="1"/>
      <c r="E1887" s="8"/>
      <c r="F1887" s="5"/>
    </row>
    <row r="1888" spans="2:6">
      <c r="B1888" s="1"/>
      <c r="C1888" s="1"/>
      <c r="D1888" s="1"/>
      <c r="E1888" s="8"/>
      <c r="F1888" s="5"/>
    </row>
    <row r="1889" spans="2:6">
      <c r="B1889" s="1"/>
      <c r="C1889" s="1"/>
      <c r="D1889" s="1"/>
      <c r="E1889" s="8"/>
      <c r="F1889" s="5"/>
    </row>
    <row r="1890" spans="2:6">
      <c r="B1890" s="1"/>
      <c r="C1890" s="1"/>
      <c r="D1890" s="1"/>
      <c r="E1890" s="8"/>
      <c r="F1890" s="5"/>
    </row>
    <row r="1891" spans="2:6">
      <c r="B1891" s="1"/>
      <c r="C1891" s="1"/>
      <c r="D1891" s="1"/>
      <c r="E1891" s="8"/>
      <c r="F1891" s="5"/>
    </row>
    <row r="1892" spans="2:6">
      <c r="B1892" s="1"/>
      <c r="C1892" s="1"/>
      <c r="D1892" s="1"/>
      <c r="E1892" s="8"/>
      <c r="F1892" s="5"/>
    </row>
    <row r="1893" spans="2:6">
      <c r="B1893" s="1"/>
      <c r="C1893" s="1"/>
      <c r="D1893" s="1"/>
      <c r="E1893" s="8"/>
      <c r="F1893" s="5"/>
    </row>
    <row r="1894" spans="2:6">
      <c r="B1894" s="1"/>
      <c r="C1894" s="1"/>
      <c r="D1894" s="1"/>
      <c r="E1894" s="8"/>
      <c r="F1894" s="5"/>
    </row>
    <row r="1895" spans="2:6">
      <c r="B1895" s="1"/>
      <c r="C1895" s="1"/>
      <c r="D1895" s="1"/>
      <c r="E1895" s="8"/>
      <c r="F1895" s="5"/>
    </row>
    <row r="1896" spans="2:6">
      <c r="B1896" s="1"/>
      <c r="C1896" s="1"/>
      <c r="D1896" s="1"/>
      <c r="E1896" s="8"/>
      <c r="F1896" s="5"/>
    </row>
    <row r="1897" spans="2:6">
      <c r="B1897" s="1"/>
      <c r="C1897" s="1"/>
      <c r="D1897" s="1"/>
      <c r="E1897" s="8"/>
      <c r="F1897" s="5"/>
    </row>
    <row r="1898" spans="2:6">
      <c r="B1898" s="1"/>
      <c r="C1898" s="1"/>
      <c r="D1898" s="1"/>
      <c r="E1898" s="8"/>
      <c r="F1898" s="5"/>
    </row>
    <row r="1899" spans="2:6">
      <c r="B1899" s="1"/>
      <c r="C1899" s="1"/>
      <c r="D1899" s="1"/>
      <c r="E1899" s="8"/>
      <c r="F1899" s="5"/>
    </row>
    <row r="1900" spans="2:6">
      <c r="B1900" s="1"/>
      <c r="C1900" s="1"/>
      <c r="D1900" s="1"/>
      <c r="E1900" s="8"/>
      <c r="F1900" s="5"/>
    </row>
    <row r="1901" spans="2:6">
      <c r="B1901" s="1"/>
      <c r="C1901" s="1"/>
      <c r="D1901" s="1"/>
      <c r="E1901" s="8"/>
      <c r="F1901" s="5"/>
    </row>
    <row r="1902" spans="2:6">
      <c r="B1902" s="1"/>
      <c r="C1902" s="1"/>
      <c r="D1902" s="1"/>
      <c r="E1902" s="8"/>
      <c r="F1902" s="5"/>
    </row>
    <row r="1903" spans="2:6">
      <c r="B1903" s="1"/>
      <c r="C1903" s="1"/>
      <c r="D1903" s="1"/>
      <c r="E1903" s="8"/>
      <c r="F1903" s="5"/>
    </row>
    <row r="1904" spans="2:6">
      <c r="B1904" s="1"/>
      <c r="C1904" s="1"/>
      <c r="D1904" s="1"/>
      <c r="E1904" s="8"/>
      <c r="F1904" s="5"/>
    </row>
    <row r="1905" spans="2:6">
      <c r="B1905" s="1"/>
      <c r="C1905" s="1"/>
      <c r="D1905" s="1"/>
      <c r="E1905" s="8"/>
      <c r="F1905" s="5"/>
    </row>
    <row r="1906" spans="2:6">
      <c r="B1906" s="1"/>
      <c r="C1906" s="1"/>
      <c r="D1906" s="1"/>
      <c r="E1906" s="8"/>
      <c r="F1906" s="5"/>
    </row>
    <row r="1907" spans="2:6">
      <c r="B1907" s="1"/>
      <c r="C1907" s="1"/>
      <c r="D1907" s="1"/>
      <c r="E1907" s="8"/>
      <c r="F1907" s="5"/>
    </row>
    <row r="1908" spans="2:6">
      <c r="B1908" s="1"/>
      <c r="C1908" s="1"/>
      <c r="D1908" s="1"/>
      <c r="E1908" s="8"/>
      <c r="F1908" s="5"/>
    </row>
    <row r="1909" spans="2:6">
      <c r="B1909" s="1"/>
      <c r="C1909" s="1"/>
      <c r="D1909" s="1"/>
      <c r="E1909" s="8"/>
      <c r="F1909" s="5"/>
    </row>
    <row r="1910" spans="2:6">
      <c r="B1910" s="1"/>
      <c r="C1910" s="1"/>
      <c r="D1910" s="1"/>
      <c r="E1910" s="8"/>
      <c r="F1910" s="5"/>
    </row>
    <row r="1911" spans="2:6">
      <c r="B1911" s="1"/>
      <c r="C1911" s="1"/>
      <c r="D1911" s="1"/>
      <c r="E1911" s="8"/>
      <c r="F1911" s="5"/>
    </row>
    <row r="1912" spans="2:6">
      <c r="B1912" s="1"/>
      <c r="C1912" s="1"/>
      <c r="D1912" s="1"/>
      <c r="E1912" s="8"/>
      <c r="F1912" s="5"/>
    </row>
    <row r="1913" spans="2:6">
      <c r="B1913" s="1"/>
      <c r="C1913" s="1"/>
      <c r="D1913" s="1"/>
      <c r="E1913" s="8"/>
      <c r="F1913" s="5"/>
    </row>
    <row r="1914" spans="2:6">
      <c r="B1914" s="1"/>
      <c r="C1914" s="1"/>
      <c r="D1914" s="1"/>
      <c r="E1914" s="8"/>
      <c r="F1914" s="5"/>
    </row>
    <row r="1915" spans="2:6">
      <c r="B1915" s="1"/>
      <c r="C1915" s="1"/>
      <c r="D1915" s="1"/>
      <c r="E1915" s="8"/>
      <c r="F1915" s="5"/>
    </row>
    <row r="1916" spans="2:6">
      <c r="B1916" s="1"/>
      <c r="C1916" s="1"/>
      <c r="D1916" s="1"/>
      <c r="E1916" s="8"/>
      <c r="F1916" s="5"/>
    </row>
    <row r="1917" spans="2:6">
      <c r="B1917" s="1"/>
      <c r="C1917" s="1"/>
      <c r="D1917" s="1"/>
      <c r="E1917" s="8"/>
      <c r="F1917" s="5"/>
    </row>
    <row r="1918" spans="2:6">
      <c r="B1918" s="1"/>
      <c r="C1918" s="1"/>
      <c r="D1918" s="1"/>
      <c r="E1918" s="8"/>
      <c r="F1918" s="5"/>
    </row>
    <row r="1919" spans="2:6">
      <c r="B1919" s="1"/>
      <c r="C1919" s="1"/>
      <c r="D1919" s="1"/>
      <c r="E1919" s="8"/>
      <c r="F1919" s="5"/>
    </row>
    <row r="1920" spans="2:6">
      <c r="B1920" s="1"/>
      <c r="C1920" s="1"/>
      <c r="D1920" s="1"/>
      <c r="E1920" s="8"/>
      <c r="F1920" s="5"/>
    </row>
    <row r="1921" spans="2:6">
      <c r="B1921" s="1"/>
      <c r="C1921" s="1"/>
      <c r="D1921" s="1"/>
      <c r="E1921" s="8"/>
      <c r="F1921" s="5"/>
    </row>
    <row r="1922" spans="2:6">
      <c r="B1922" s="1"/>
      <c r="C1922" s="1"/>
      <c r="D1922" s="1"/>
      <c r="E1922" s="8"/>
      <c r="F1922" s="5"/>
    </row>
    <row r="1923" spans="2:6">
      <c r="B1923" s="1"/>
      <c r="C1923" s="1"/>
      <c r="D1923" s="1"/>
      <c r="E1923" s="8"/>
      <c r="F1923" s="5"/>
    </row>
    <row r="1924" spans="2:6">
      <c r="B1924" s="1"/>
      <c r="C1924" s="1"/>
      <c r="D1924" s="1"/>
      <c r="E1924" s="8"/>
      <c r="F1924" s="5"/>
    </row>
    <row r="1925" spans="2:6">
      <c r="B1925" s="1"/>
      <c r="C1925" s="1"/>
      <c r="D1925" s="1"/>
      <c r="E1925" s="8"/>
      <c r="F1925" s="5"/>
    </row>
    <row r="1926" spans="2:6">
      <c r="B1926" s="1"/>
      <c r="C1926" s="1"/>
      <c r="D1926" s="1"/>
      <c r="E1926" s="8"/>
      <c r="F1926" s="5"/>
    </row>
    <row r="1927" spans="2:6">
      <c r="B1927" s="1"/>
      <c r="C1927" s="1"/>
      <c r="D1927" s="1"/>
      <c r="E1927" s="8"/>
      <c r="F1927" s="5"/>
    </row>
    <row r="1928" spans="2:6">
      <c r="B1928" s="1"/>
      <c r="C1928" s="1"/>
      <c r="D1928" s="1"/>
      <c r="E1928" s="8"/>
      <c r="F1928" s="5"/>
    </row>
    <row r="1929" spans="2:6">
      <c r="B1929" s="1"/>
      <c r="C1929" s="1"/>
      <c r="D1929" s="1"/>
      <c r="E1929" s="8"/>
      <c r="F1929" s="5"/>
    </row>
    <row r="1930" spans="2:6">
      <c r="B1930" s="1"/>
      <c r="C1930" s="1"/>
      <c r="D1930" s="1"/>
      <c r="E1930" s="8"/>
      <c r="F1930" s="5"/>
    </row>
    <row r="1931" spans="2:6">
      <c r="B1931" s="1"/>
      <c r="C1931" s="1"/>
      <c r="D1931" s="1"/>
      <c r="E1931" s="8"/>
      <c r="F1931" s="5"/>
    </row>
    <row r="1932" spans="2:6">
      <c r="B1932" s="1"/>
      <c r="C1932" s="1"/>
      <c r="D1932" s="1"/>
      <c r="E1932" s="8"/>
      <c r="F1932" s="5"/>
    </row>
    <row r="1933" spans="2:6">
      <c r="B1933" s="1"/>
      <c r="C1933" s="1"/>
      <c r="D1933" s="1"/>
      <c r="E1933" s="8"/>
      <c r="F1933" s="5"/>
    </row>
    <row r="1934" spans="2:6">
      <c r="B1934" s="1"/>
      <c r="C1934" s="1"/>
      <c r="D1934" s="1"/>
      <c r="E1934" s="8"/>
      <c r="F1934" s="5"/>
    </row>
    <row r="1935" spans="2:6">
      <c r="B1935" s="1"/>
      <c r="C1935" s="1"/>
      <c r="D1935" s="1"/>
      <c r="E1935" s="8"/>
      <c r="F1935" s="5"/>
    </row>
    <row r="1936" spans="2:6">
      <c r="B1936" s="1"/>
      <c r="C1936" s="1"/>
      <c r="D1936" s="1"/>
      <c r="E1936" s="8"/>
      <c r="F1936" s="5"/>
    </row>
    <row r="1937" spans="2:6">
      <c r="B1937" s="1"/>
      <c r="C1937" s="1"/>
      <c r="D1937" s="1"/>
      <c r="E1937" s="8"/>
      <c r="F1937" s="5"/>
    </row>
    <row r="1938" spans="2:6">
      <c r="B1938" s="1"/>
      <c r="C1938" s="1"/>
      <c r="D1938" s="1"/>
      <c r="E1938" s="8"/>
      <c r="F1938" s="5"/>
    </row>
    <row r="1939" spans="2:6">
      <c r="B1939" s="1"/>
      <c r="C1939" s="1"/>
      <c r="D1939" s="1"/>
      <c r="E1939" s="8"/>
      <c r="F1939" s="5"/>
    </row>
    <row r="1940" spans="2:6">
      <c r="B1940" s="1"/>
      <c r="C1940" s="1"/>
      <c r="D1940" s="1"/>
      <c r="E1940" s="8"/>
      <c r="F1940" s="5"/>
    </row>
    <row r="1941" spans="2:6">
      <c r="B1941" s="1"/>
      <c r="C1941" s="1"/>
      <c r="D1941" s="1"/>
      <c r="E1941" s="8"/>
      <c r="F1941" s="5"/>
    </row>
    <row r="1942" spans="2:6">
      <c r="B1942" s="1"/>
      <c r="C1942" s="1"/>
      <c r="D1942" s="1"/>
      <c r="E1942" s="8"/>
      <c r="F1942" s="5"/>
    </row>
    <row r="1943" spans="2:6">
      <c r="B1943" s="1"/>
      <c r="C1943" s="1"/>
      <c r="D1943" s="1"/>
      <c r="E1943" s="8"/>
      <c r="F1943" s="5"/>
    </row>
    <row r="1944" spans="2:6">
      <c r="B1944" s="1"/>
      <c r="C1944" s="1"/>
      <c r="D1944" s="1"/>
      <c r="E1944" s="8"/>
      <c r="F1944" s="5"/>
    </row>
    <row r="1945" spans="2:6">
      <c r="B1945" s="1"/>
      <c r="C1945" s="1"/>
      <c r="D1945" s="1"/>
      <c r="E1945" s="8"/>
      <c r="F1945" s="5"/>
    </row>
    <row r="1946" spans="2:6">
      <c r="B1946" s="1"/>
      <c r="C1946" s="1"/>
      <c r="D1946" s="1"/>
      <c r="E1946" s="8"/>
      <c r="F1946" s="5"/>
    </row>
    <row r="1947" spans="2:6">
      <c r="B1947" s="1"/>
      <c r="C1947" s="1"/>
      <c r="D1947" s="1"/>
      <c r="E1947" s="8"/>
      <c r="F1947" s="5"/>
    </row>
    <row r="1948" spans="2:6">
      <c r="B1948" s="1"/>
      <c r="C1948" s="1"/>
      <c r="D1948" s="1"/>
      <c r="E1948" s="8"/>
      <c r="F1948" s="5"/>
    </row>
    <row r="1949" spans="2:6">
      <c r="B1949" s="1"/>
      <c r="C1949" s="1"/>
      <c r="D1949" s="1"/>
      <c r="E1949" s="8"/>
      <c r="F1949" s="5"/>
    </row>
    <row r="1950" spans="2:6">
      <c r="B1950" s="1"/>
      <c r="C1950" s="1"/>
      <c r="D1950" s="1"/>
      <c r="E1950" s="8"/>
      <c r="F1950" s="5"/>
    </row>
    <row r="1951" spans="2:6">
      <c r="B1951" s="1"/>
      <c r="C1951" s="1"/>
      <c r="D1951" s="1"/>
      <c r="E1951" s="8"/>
      <c r="F1951" s="5"/>
    </row>
    <row r="1952" spans="2:6">
      <c r="B1952" s="1"/>
      <c r="C1952" s="1"/>
      <c r="D1952" s="1"/>
      <c r="E1952" s="8"/>
      <c r="F1952" s="5"/>
    </row>
    <row r="1953" spans="2:6">
      <c r="B1953" s="1"/>
      <c r="C1953" s="1"/>
      <c r="D1953" s="1"/>
      <c r="E1953" s="8"/>
      <c r="F1953" s="5"/>
    </row>
    <row r="1954" spans="2:6">
      <c r="B1954" s="1"/>
      <c r="C1954" s="1"/>
      <c r="D1954" s="1"/>
      <c r="E1954" s="8"/>
      <c r="F1954" s="5"/>
    </row>
    <row r="1955" spans="2:6">
      <c r="B1955" s="1"/>
      <c r="C1955" s="1"/>
      <c r="D1955" s="1"/>
      <c r="E1955" s="8"/>
      <c r="F1955" s="5"/>
    </row>
    <row r="1956" spans="2:6">
      <c r="B1956" s="1"/>
      <c r="C1956" s="1"/>
      <c r="D1956" s="1"/>
      <c r="E1956" s="8"/>
      <c r="F1956" s="5"/>
    </row>
    <row r="1957" spans="2:6">
      <c r="B1957" s="1"/>
      <c r="C1957" s="1"/>
      <c r="D1957" s="1"/>
      <c r="E1957" s="8"/>
      <c r="F1957" s="5"/>
    </row>
    <row r="1958" spans="2:6">
      <c r="B1958" s="1"/>
      <c r="C1958" s="1"/>
      <c r="D1958" s="1"/>
      <c r="E1958" s="8"/>
      <c r="F1958" s="5"/>
    </row>
    <row r="1959" spans="2:6">
      <c r="B1959" s="1"/>
      <c r="C1959" s="1"/>
      <c r="D1959" s="1"/>
      <c r="E1959" s="8"/>
      <c r="F1959" s="5"/>
    </row>
    <row r="1960" spans="2:6">
      <c r="B1960" s="1"/>
      <c r="C1960" s="1"/>
      <c r="D1960" s="1"/>
      <c r="E1960" s="8"/>
      <c r="F1960" s="5"/>
    </row>
    <row r="1961" spans="2:6">
      <c r="B1961" s="1"/>
      <c r="C1961" s="1"/>
      <c r="D1961" s="1"/>
      <c r="E1961" s="8"/>
      <c r="F1961" s="5"/>
    </row>
    <row r="1962" spans="2:6">
      <c r="B1962" s="1"/>
      <c r="C1962" s="1"/>
      <c r="D1962" s="1"/>
      <c r="E1962" s="8"/>
      <c r="F1962" s="5"/>
    </row>
    <row r="1963" spans="2:6">
      <c r="B1963" s="1"/>
      <c r="C1963" s="1"/>
      <c r="D1963" s="1"/>
      <c r="E1963" s="8"/>
      <c r="F1963" s="5"/>
    </row>
    <row r="1964" spans="2:6">
      <c r="B1964" s="1"/>
      <c r="C1964" s="1"/>
      <c r="D1964" s="1"/>
      <c r="E1964" s="8"/>
      <c r="F1964" s="5"/>
    </row>
    <row r="1965" spans="2:6">
      <c r="B1965" s="1"/>
      <c r="C1965" s="1"/>
      <c r="D1965" s="1"/>
      <c r="E1965" s="8"/>
      <c r="F1965" s="5"/>
    </row>
    <row r="1966" spans="2:6">
      <c r="B1966" s="1"/>
      <c r="C1966" s="1"/>
      <c r="D1966" s="1"/>
      <c r="E1966" s="8"/>
      <c r="F1966" s="5"/>
    </row>
    <row r="1967" spans="2:6">
      <c r="B1967" s="1"/>
      <c r="C1967" s="1"/>
      <c r="D1967" s="1"/>
      <c r="E1967" s="8"/>
      <c r="F1967" s="5"/>
    </row>
    <row r="1968" spans="2:6">
      <c r="B1968" s="1"/>
      <c r="C1968" s="1"/>
      <c r="D1968" s="1"/>
      <c r="E1968" s="8"/>
      <c r="F1968" s="5"/>
    </row>
    <row r="1969" spans="2:6">
      <c r="B1969" s="1"/>
      <c r="C1969" s="1"/>
      <c r="D1969" s="1"/>
      <c r="E1969" s="8"/>
      <c r="F1969" s="5"/>
    </row>
    <row r="1970" spans="2:6">
      <c r="B1970" s="1"/>
      <c r="C1970" s="1"/>
      <c r="D1970" s="1"/>
      <c r="E1970" s="8"/>
      <c r="F1970" s="5"/>
    </row>
    <row r="1971" spans="2:6">
      <c r="B1971" s="1"/>
      <c r="C1971" s="1"/>
      <c r="D1971" s="1"/>
      <c r="E1971" s="8"/>
      <c r="F1971" s="5"/>
    </row>
    <row r="1972" spans="2:6">
      <c r="B1972" s="1"/>
      <c r="C1972" s="1"/>
      <c r="D1972" s="1"/>
      <c r="E1972" s="8"/>
      <c r="F1972" s="5"/>
    </row>
    <row r="1973" spans="2:6">
      <c r="B1973" s="1"/>
      <c r="C1973" s="1"/>
      <c r="D1973" s="1"/>
      <c r="E1973" s="8"/>
      <c r="F1973" s="5"/>
    </row>
    <row r="1974" spans="2:6">
      <c r="B1974" s="1"/>
      <c r="C1974" s="1"/>
      <c r="D1974" s="1"/>
      <c r="E1974" s="8"/>
      <c r="F1974" s="5"/>
    </row>
    <row r="1975" spans="2:6">
      <c r="B1975" s="1"/>
      <c r="C1975" s="1"/>
      <c r="D1975" s="1"/>
      <c r="E1975" s="8"/>
      <c r="F1975" s="5"/>
    </row>
    <row r="1976" spans="2:6">
      <c r="B1976" s="1"/>
      <c r="C1976" s="1"/>
      <c r="D1976" s="1"/>
      <c r="E1976" s="8"/>
      <c r="F1976" s="5"/>
    </row>
    <row r="1977" spans="2:6">
      <c r="B1977" s="1"/>
      <c r="C1977" s="1"/>
      <c r="D1977" s="1"/>
      <c r="E1977" s="8"/>
      <c r="F1977" s="5"/>
    </row>
    <row r="1978" spans="2:6">
      <c r="B1978" s="1"/>
      <c r="C1978" s="1"/>
      <c r="D1978" s="1"/>
      <c r="E1978" s="8"/>
      <c r="F1978" s="5"/>
    </row>
    <row r="1979" spans="2:6">
      <c r="B1979" s="1"/>
      <c r="C1979" s="1"/>
      <c r="D1979" s="1"/>
      <c r="E1979" s="8"/>
      <c r="F1979" s="5"/>
    </row>
    <row r="1980" spans="2:6">
      <c r="B1980" s="1"/>
      <c r="C1980" s="1"/>
      <c r="D1980" s="1"/>
      <c r="E1980" s="8"/>
      <c r="F1980" s="5"/>
    </row>
    <row r="1981" spans="2:6">
      <c r="B1981" s="1"/>
      <c r="C1981" s="1"/>
      <c r="D1981" s="1"/>
      <c r="E1981" s="8"/>
      <c r="F1981" s="5"/>
    </row>
    <row r="1982" spans="2:6">
      <c r="B1982" s="1"/>
      <c r="C1982" s="1"/>
      <c r="D1982" s="1"/>
      <c r="E1982" s="8"/>
      <c r="F1982" s="5"/>
    </row>
    <row r="1983" spans="2:6">
      <c r="B1983" s="1"/>
      <c r="C1983" s="1"/>
      <c r="D1983" s="1"/>
      <c r="E1983" s="8"/>
      <c r="F1983" s="5"/>
    </row>
    <row r="1984" spans="2:6">
      <c r="B1984" s="1"/>
      <c r="C1984" s="1"/>
      <c r="D1984" s="1"/>
      <c r="E1984" s="8"/>
      <c r="F1984" s="5"/>
    </row>
    <row r="1985" spans="2:6">
      <c r="B1985" s="1"/>
      <c r="C1985" s="1"/>
      <c r="D1985" s="1"/>
      <c r="E1985" s="8"/>
      <c r="F1985" s="5"/>
    </row>
    <row r="1986" spans="2:6">
      <c r="B1986" s="1"/>
      <c r="C1986" s="1"/>
      <c r="D1986" s="1"/>
      <c r="E1986" s="8"/>
      <c r="F1986" s="5"/>
    </row>
    <row r="1987" spans="2:6">
      <c r="B1987" s="1"/>
      <c r="C1987" s="1"/>
      <c r="D1987" s="1"/>
      <c r="E1987" s="8"/>
      <c r="F1987" s="5"/>
    </row>
    <row r="1988" spans="2:6">
      <c r="B1988" s="1"/>
      <c r="C1988" s="1"/>
      <c r="D1988" s="1"/>
      <c r="E1988" s="8"/>
      <c r="F1988" s="5"/>
    </row>
    <row r="1989" spans="2:6">
      <c r="B1989" s="1"/>
      <c r="C1989" s="1"/>
      <c r="D1989" s="1"/>
      <c r="E1989" s="8"/>
      <c r="F1989" s="5"/>
    </row>
    <row r="1990" spans="2:6">
      <c r="B1990" s="1"/>
      <c r="C1990" s="1"/>
      <c r="D1990" s="1"/>
      <c r="E1990" s="8"/>
      <c r="F1990" s="5"/>
    </row>
    <row r="1991" spans="2:6">
      <c r="B1991" s="1"/>
      <c r="C1991" s="1"/>
      <c r="D1991" s="1"/>
      <c r="E1991" s="8"/>
      <c r="F1991" s="5"/>
    </row>
    <row r="1992" spans="2:6">
      <c r="B1992" s="1"/>
      <c r="C1992" s="1"/>
      <c r="D1992" s="1"/>
      <c r="E1992" s="8"/>
      <c r="F1992" s="5"/>
    </row>
    <row r="1993" spans="2:6">
      <c r="B1993" s="1"/>
      <c r="C1993" s="1"/>
      <c r="D1993" s="1"/>
      <c r="E1993" s="8"/>
      <c r="F1993" s="5"/>
    </row>
    <row r="1994" spans="2:6">
      <c r="B1994" s="1"/>
      <c r="C1994" s="1"/>
      <c r="D1994" s="1"/>
      <c r="E1994" s="8"/>
      <c r="F1994" s="5"/>
    </row>
    <row r="1995" spans="2:6">
      <c r="B1995" s="1"/>
      <c r="C1995" s="1"/>
      <c r="D1995" s="1"/>
      <c r="E1995" s="8"/>
      <c r="F1995" s="5"/>
    </row>
    <row r="1996" spans="2:6">
      <c r="B1996" s="1"/>
      <c r="C1996" s="1"/>
      <c r="D1996" s="1"/>
      <c r="E1996" s="8"/>
      <c r="F1996" s="5"/>
    </row>
    <row r="1997" spans="2:6">
      <c r="B1997" s="1"/>
      <c r="C1997" s="1"/>
      <c r="D1997" s="1"/>
      <c r="E1997" s="8"/>
      <c r="F1997" s="5"/>
    </row>
    <row r="1998" spans="2:6">
      <c r="B1998" s="1"/>
      <c r="C1998" s="1"/>
      <c r="D1998" s="1"/>
      <c r="E1998" s="8"/>
      <c r="F1998" s="5"/>
    </row>
    <row r="1999" spans="2:6">
      <c r="B1999" s="1"/>
      <c r="C1999" s="1"/>
      <c r="D1999" s="1"/>
      <c r="E1999" s="8"/>
      <c r="F1999" s="5"/>
    </row>
    <row r="2000" spans="2:6">
      <c r="B2000" s="1"/>
      <c r="C2000" s="1"/>
      <c r="D2000" s="1"/>
      <c r="E2000" s="8"/>
      <c r="F2000" s="5"/>
    </row>
    <row r="2001" spans="2:6">
      <c r="B2001" s="1"/>
      <c r="C2001" s="1"/>
      <c r="D2001" s="1"/>
      <c r="E2001" s="8"/>
      <c r="F2001" s="5"/>
    </row>
    <row r="2002" spans="2:6">
      <c r="B2002" s="1"/>
      <c r="C2002" s="1"/>
      <c r="D2002" s="1"/>
      <c r="E2002" s="8"/>
      <c r="F2002" s="5"/>
    </row>
    <row r="2003" spans="2:6">
      <c r="B2003" s="1"/>
      <c r="C2003" s="1"/>
      <c r="D2003" s="1"/>
      <c r="E2003" s="8"/>
      <c r="F2003" s="5"/>
    </row>
    <row r="2004" spans="2:6">
      <c r="B2004" s="1"/>
      <c r="C2004" s="1"/>
      <c r="D2004" s="1"/>
      <c r="E2004" s="8"/>
      <c r="F2004" s="5"/>
    </row>
    <row r="2005" spans="2:6">
      <c r="B2005" s="1"/>
      <c r="C2005" s="1"/>
      <c r="D2005" s="1"/>
      <c r="E2005" s="8"/>
      <c r="F2005" s="5"/>
    </row>
    <row r="2006" spans="2:6">
      <c r="B2006" s="1"/>
      <c r="C2006" s="1"/>
      <c r="D2006" s="1"/>
      <c r="E2006" s="8"/>
      <c r="F2006" s="5"/>
    </row>
    <row r="2007" spans="2:6">
      <c r="B2007" s="1"/>
      <c r="C2007" s="1"/>
      <c r="D2007" s="1"/>
      <c r="E2007" s="8"/>
      <c r="F2007" s="5"/>
    </row>
    <row r="2008" spans="2:6">
      <c r="B2008" s="1"/>
      <c r="C2008" s="1"/>
      <c r="D2008" s="1"/>
      <c r="E2008" s="8"/>
      <c r="F2008" s="5"/>
    </row>
    <row r="2009" spans="2:6">
      <c r="B2009" s="1"/>
      <c r="C2009" s="1"/>
      <c r="D2009" s="1"/>
      <c r="E2009" s="8"/>
      <c r="F2009" s="5"/>
    </row>
    <row r="2010" spans="2:6">
      <c r="B2010" s="1"/>
      <c r="C2010" s="1"/>
      <c r="D2010" s="1"/>
      <c r="E2010" s="8"/>
      <c r="F2010" s="5"/>
    </row>
    <row r="2011" spans="2:6">
      <c r="B2011" s="1"/>
      <c r="C2011" s="1"/>
      <c r="D2011" s="1"/>
      <c r="E2011" s="8"/>
      <c r="F2011" s="5"/>
    </row>
    <row r="2012" spans="2:6">
      <c r="B2012" s="1"/>
      <c r="C2012" s="1"/>
      <c r="D2012" s="1"/>
      <c r="E2012" s="8"/>
      <c r="F2012" s="5"/>
    </row>
    <row r="2013" spans="2:6">
      <c r="B2013" s="1"/>
      <c r="C2013" s="1"/>
      <c r="D2013" s="1"/>
      <c r="E2013" s="8"/>
      <c r="F2013" s="5"/>
    </row>
    <row r="2014" spans="2:6">
      <c r="B2014" s="1"/>
      <c r="C2014" s="1"/>
      <c r="D2014" s="1"/>
      <c r="E2014" s="8"/>
      <c r="F2014" s="5"/>
    </row>
    <row r="2015" spans="2:6">
      <c r="B2015" s="1"/>
      <c r="C2015" s="1"/>
      <c r="D2015" s="1"/>
      <c r="E2015" s="8"/>
      <c r="F2015" s="5"/>
    </row>
    <row r="2016" spans="2:6">
      <c r="B2016" s="1"/>
      <c r="C2016" s="1"/>
      <c r="D2016" s="1"/>
      <c r="E2016" s="8"/>
      <c r="F2016" s="5"/>
    </row>
    <row r="2017" spans="2:6">
      <c r="B2017" s="1"/>
      <c r="C2017" s="1"/>
      <c r="D2017" s="1"/>
      <c r="E2017" s="8"/>
      <c r="F2017" s="5"/>
    </row>
    <row r="2018" spans="2:6">
      <c r="B2018" s="1"/>
      <c r="C2018" s="1"/>
      <c r="D2018" s="1"/>
      <c r="E2018" s="8"/>
      <c r="F2018" s="5"/>
    </row>
    <row r="2019" spans="2:6">
      <c r="B2019" s="1"/>
      <c r="C2019" s="1"/>
      <c r="D2019" s="1"/>
      <c r="E2019" s="8"/>
      <c r="F2019" s="5"/>
    </row>
    <row r="2020" spans="2:6">
      <c r="B2020" s="1"/>
      <c r="C2020" s="1"/>
      <c r="D2020" s="1"/>
      <c r="E2020" s="8"/>
      <c r="F2020" s="5"/>
    </row>
    <row r="2021" spans="2:6">
      <c r="B2021" s="1"/>
      <c r="C2021" s="1"/>
      <c r="D2021" s="1"/>
      <c r="E2021" s="8"/>
      <c r="F2021" s="5"/>
    </row>
    <row r="2022" spans="2:6">
      <c r="B2022" s="1"/>
      <c r="C2022" s="1"/>
      <c r="D2022" s="1"/>
      <c r="E2022" s="8"/>
      <c r="F2022" s="5"/>
    </row>
    <row r="2023" spans="2:6">
      <c r="B2023" s="1"/>
      <c r="C2023" s="1"/>
      <c r="D2023" s="1"/>
      <c r="E2023" s="8"/>
      <c r="F2023" s="5"/>
    </row>
    <row r="2024" spans="2:6">
      <c r="B2024" s="1"/>
      <c r="C2024" s="1"/>
      <c r="D2024" s="1"/>
      <c r="E2024" s="8"/>
      <c r="F2024" s="5"/>
    </row>
    <row r="2025" spans="2:6">
      <c r="B2025" s="1"/>
      <c r="C2025" s="1"/>
      <c r="D2025" s="1"/>
      <c r="E2025" s="8"/>
      <c r="F2025" s="5"/>
    </row>
    <row r="2026" spans="2:6">
      <c r="B2026" s="1"/>
      <c r="C2026" s="1"/>
      <c r="D2026" s="1"/>
      <c r="E2026" s="8"/>
      <c r="F2026" s="5"/>
    </row>
    <row r="2027" spans="2:6">
      <c r="B2027" s="1"/>
      <c r="C2027" s="1"/>
      <c r="D2027" s="1"/>
      <c r="E2027" s="8"/>
      <c r="F2027" s="5"/>
    </row>
    <row r="2028" spans="2:6">
      <c r="B2028" s="1"/>
      <c r="C2028" s="1"/>
      <c r="D2028" s="1"/>
      <c r="E2028" s="8"/>
      <c r="F2028" s="5"/>
    </row>
    <row r="2029" spans="2:6">
      <c r="B2029" s="1"/>
      <c r="C2029" s="1"/>
      <c r="D2029" s="1"/>
      <c r="E2029" s="8"/>
      <c r="F2029" s="5"/>
    </row>
    <row r="2030" spans="2:6">
      <c r="B2030" s="1"/>
      <c r="C2030" s="1"/>
      <c r="D2030" s="1"/>
      <c r="E2030" s="8"/>
      <c r="F2030" s="5"/>
    </row>
    <row r="2031" spans="2:6">
      <c r="B2031" s="1"/>
      <c r="C2031" s="1"/>
      <c r="D2031" s="1"/>
      <c r="E2031" s="8"/>
      <c r="F2031" s="5"/>
    </row>
    <row r="2032" spans="2:6">
      <c r="B2032" s="1"/>
      <c r="C2032" s="1"/>
      <c r="D2032" s="1"/>
      <c r="E2032" s="8"/>
      <c r="F2032" s="5"/>
    </row>
    <row r="2033" spans="2:6">
      <c r="B2033" s="1"/>
      <c r="C2033" s="1"/>
      <c r="D2033" s="1"/>
      <c r="E2033" s="8"/>
      <c r="F2033" s="5"/>
    </row>
    <row r="2034" spans="2:6">
      <c r="B2034" s="1"/>
      <c r="C2034" s="1"/>
      <c r="D2034" s="1"/>
      <c r="E2034" s="8"/>
      <c r="F2034" s="5"/>
    </row>
    <row r="2035" spans="2:6">
      <c r="B2035" s="1"/>
      <c r="C2035" s="1"/>
      <c r="D2035" s="1"/>
      <c r="E2035" s="8"/>
      <c r="F2035" s="5"/>
    </row>
    <row r="2036" spans="2:6">
      <c r="B2036" s="1"/>
      <c r="C2036" s="1"/>
      <c r="D2036" s="1"/>
      <c r="E2036" s="8"/>
      <c r="F2036" s="5"/>
    </row>
    <row r="2037" spans="2:6">
      <c r="B2037" s="1"/>
      <c r="C2037" s="1"/>
      <c r="D2037" s="1"/>
      <c r="E2037" s="8"/>
      <c r="F2037" s="5"/>
    </row>
    <row r="2038" spans="2:6">
      <c r="B2038" s="1"/>
      <c r="C2038" s="1"/>
      <c r="D2038" s="1"/>
      <c r="E2038" s="8"/>
      <c r="F2038" s="5"/>
    </row>
    <row r="2039" spans="2:6">
      <c r="B2039" s="1"/>
      <c r="C2039" s="1"/>
      <c r="D2039" s="1"/>
      <c r="E2039" s="8"/>
      <c r="F2039" s="5"/>
    </row>
    <row r="2040" spans="2:6">
      <c r="B2040" s="1"/>
      <c r="C2040" s="1"/>
      <c r="D2040" s="1"/>
      <c r="E2040" s="8"/>
      <c r="F2040" s="5"/>
    </row>
    <row r="2041" spans="2:6">
      <c r="B2041" s="1"/>
      <c r="C2041" s="1"/>
      <c r="D2041" s="1"/>
      <c r="E2041" s="8"/>
      <c r="F2041" s="5"/>
    </row>
    <row r="2042" spans="2:6">
      <c r="B2042" s="1"/>
      <c r="C2042" s="1"/>
      <c r="D2042" s="1"/>
      <c r="E2042" s="8"/>
      <c r="F2042" s="5"/>
    </row>
    <row r="2043" spans="2:6">
      <c r="B2043" s="1"/>
      <c r="C2043" s="1"/>
      <c r="D2043" s="1"/>
      <c r="E2043" s="8"/>
      <c r="F2043" s="5"/>
    </row>
    <row r="2044" spans="2:6">
      <c r="B2044" s="1"/>
      <c r="C2044" s="1"/>
      <c r="D2044" s="1"/>
      <c r="E2044" s="8"/>
      <c r="F2044" s="5"/>
    </row>
    <row r="2045" spans="2:6">
      <c r="B2045" s="1"/>
      <c r="C2045" s="1"/>
      <c r="D2045" s="1"/>
      <c r="E2045" s="8"/>
      <c r="F2045" s="5"/>
    </row>
    <row r="2046" spans="2:6">
      <c r="B2046" s="1"/>
      <c r="C2046" s="1"/>
      <c r="D2046" s="1"/>
      <c r="E2046" s="8"/>
      <c r="F2046" s="5"/>
    </row>
    <row r="2047" spans="2:6">
      <c r="B2047" s="1"/>
      <c r="C2047" s="1"/>
      <c r="D2047" s="1"/>
      <c r="E2047" s="8"/>
      <c r="F2047" s="5"/>
    </row>
    <row r="2048" spans="2:6">
      <c r="B2048" s="1"/>
      <c r="C2048" s="1"/>
      <c r="D2048" s="1"/>
      <c r="E2048" s="8"/>
      <c r="F2048" s="5"/>
    </row>
    <row r="2049" spans="2:6">
      <c r="B2049" s="1"/>
      <c r="C2049" s="1"/>
      <c r="D2049" s="1"/>
      <c r="E2049" s="8"/>
      <c r="F2049" s="5"/>
    </row>
    <row r="2050" spans="2:6">
      <c r="B2050" s="1"/>
      <c r="C2050" s="1"/>
      <c r="D2050" s="1"/>
      <c r="E2050" s="8"/>
      <c r="F2050" s="5"/>
    </row>
    <row r="2051" spans="2:6">
      <c r="B2051" s="1"/>
      <c r="C2051" s="1"/>
      <c r="D2051" s="1"/>
      <c r="E2051" s="8"/>
      <c r="F2051" s="5"/>
    </row>
    <row r="2052" spans="2:6">
      <c r="B2052" s="1"/>
      <c r="C2052" s="1"/>
      <c r="D2052" s="1"/>
      <c r="E2052" s="8"/>
      <c r="F2052" s="5"/>
    </row>
    <row r="2053" spans="2:6">
      <c r="B2053" s="1"/>
      <c r="C2053" s="1"/>
      <c r="D2053" s="1"/>
      <c r="E2053" s="8"/>
      <c r="F2053" s="5"/>
    </row>
    <row r="2054" spans="2:6">
      <c r="B2054" s="1"/>
      <c r="C2054" s="1"/>
      <c r="D2054" s="1"/>
      <c r="E2054" s="8"/>
      <c r="F2054" s="5"/>
    </row>
    <row r="2055" spans="2:6">
      <c r="B2055" s="1"/>
      <c r="C2055" s="1"/>
      <c r="D2055" s="1"/>
      <c r="E2055" s="8"/>
      <c r="F2055" s="5"/>
    </row>
    <row r="2056" spans="2:6">
      <c r="B2056" s="1"/>
      <c r="C2056" s="1"/>
      <c r="D2056" s="1"/>
      <c r="E2056" s="8"/>
      <c r="F2056" s="5"/>
    </row>
    <row r="2057" spans="2:6">
      <c r="B2057" s="1"/>
      <c r="C2057" s="1"/>
      <c r="D2057" s="1"/>
      <c r="E2057" s="8"/>
      <c r="F2057" s="5"/>
    </row>
    <row r="2058" spans="2:6">
      <c r="B2058" s="1"/>
      <c r="C2058" s="1"/>
      <c r="D2058" s="1"/>
      <c r="E2058" s="8"/>
      <c r="F2058" s="5"/>
    </row>
    <row r="2059" spans="2:6">
      <c r="B2059" s="1"/>
      <c r="C2059" s="1"/>
      <c r="D2059" s="1"/>
      <c r="E2059" s="8"/>
      <c r="F2059" s="5"/>
    </row>
    <row r="2060" spans="2:6">
      <c r="B2060" s="1"/>
      <c r="C2060" s="1"/>
      <c r="D2060" s="1"/>
      <c r="E2060" s="8"/>
      <c r="F2060" s="5"/>
    </row>
    <row r="2061" spans="2:6">
      <c r="B2061" s="1"/>
      <c r="C2061" s="1"/>
      <c r="D2061" s="1"/>
      <c r="E2061" s="8"/>
      <c r="F2061" s="5"/>
    </row>
    <row r="2062" spans="2:6">
      <c r="B2062" s="1"/>
      <c r="C2062" s="1"/>
      <c r="D2062" s="1"/>
      <c r="E2062" s="8"/>
      <c r="F2062" s="5"/>
    </row>
    <row r="2063" spans="2:6">
      <c r="B2063" s="1"/>
      <c r="C2063" s="1"/>
      <c r="D2063" s="1"/>
      <c r="E2063" s="8"/>
      <c r="F2063" s="5"/>
    </row>
    <row r="2064" spans="2:6">
      <c r="B2064" s="1"/>
      <c r="C2064" s="1"/>
      <c r="D2064" s="1"/>
      <c r="E2064" s="8"/>
      <c r="F2064" s="5"/>
    </row>
    <row r="2065" spans="2:6">
      <c r="B2065" s="1"/>
      <c r="C2065" s="1"/>
      <c r="D2065" s="1"/>
      <c r="E2065" s="8"/>
      <c r="F2065" s="5"/>
    </row>
    <row r="2066" spans="2:6">
      <c r="B2066" s="1"/>
      <c r="C2066" s="1"/>
      <c r="D2066" s="1"/>
      <c r="E2066" s="8"/>
      <c r="F2066" s="5"/>
    </row>
    <row r="2067" spans="2:6">
      <c r="B2067" s="1"/>
      <c r="C2067" s="1"/>
      <c r="D2067" s="1"/>
      <c r="E2067" s="8"/>
      <c r="F2067" s="5"/>
    </row>
    <row r="2068" spans="2:6">
      <c r="B2068" s="1"/>
      <c r="C2068" s="1"/>
      <c r="D2068" s="1"/>
      <c r="E2068" s="8"/>
      <c r="F2068" s="5"/>
    </row>
    <row r="2069" spans="2:6">
      <c r="B2069" s="1"/>
      <c r="C2069" s="1"/>
      <c r="D2069" s="1"/>
      <c r="E2069" s="8"/>
      <c r="F2069" s="5"/>
    </row>
    <row r="2070" spans="2:6">
      <c r="B2070" s="1"/>
      <c r="C2070" s="1"/>
      <c r="D2070" s="1"/>
      <c r="E2070" s="8"/>
      <c r="F2070" s="5"/>
    </row>
    <row r="2071" spans="2:6">
      <c r="B2071" s="1"/>
      <c r="C2071" s="1"/>
      <c r="D2071" s="1"/>
      <c r="E2071" s="8"/>
      <c r="F2071" s="5"/>
    </row>
    <row r="2072" spans="2:6">
      <c r="B2072" s="1"/>
      <c r="C2072" s="1"/>
      <c r="D2072" s="1"/>
      <c r="E2072" s="8"/>
      <c r="F2072" s="5"/>
    </row>
    <row r="2073" spans="2:6">
      <c r="B2073" s="1"/>
      <c r="C2073" s="1"/>
      <c r="D2073" s="1"/>
      <c r="E2073" s="8"/>
      <c r="F2073" s="5"/>
    </row>
    <row r="2074" spans="2:6">
      <c r="B2074" s="1"/>
      <c r="C2074" s="1"/>
      <c r="D2074" s="1"/>
      <c r="E2074" s="8"/>
      <c r="F2074" s="5"/>
    </row>
    <row r="2075" spans="2:6">
      <c r="B2075" s="1"/>
      <c r="C2075" s="1"/>
      <c r="D2075" s="1"/>
      <c r="E2075" s="8"/>
      <c r="F2075" s="5"/>
    </row>
    <row r="2076" spans="2:6">
      <c r="B2076" s="1"/>
      <c r="C2076" s="1"/>
      <c r="D2076" s="1"/>
      <c r="E2076" s="8"/>
      <c r="F2076" s="5"/>
    </row>
    <row r="2077" spans="2:6">
      <c r="B2077" s="1"/>
      <c r="C2077" s="1"/>
      <c r="D2077" s="1"/>
      <c r="E2077" s="8"/>
      <c r="F2077" s="5"/>
    </row>
    <row r="2078" spans="2:6">
      <c r="B2078" s="1"/>
      <c r="C2078" s="1"/>
      <c r="D2078" s="1"/>
      <c r="E2078" s="8"/>
      <c r="F2078" s="5"/>
    </row>
    <row r="2079" spans="2:6">
      <c r="B2079" s="1"/>
      <c r="C2079" s="1"/>
      <c r="D2079" s="1"/>
      <c r="E2079" s="8"/>
      <c r="F2079" s="5"/>
    </row>
    <row r="2080" spans="2:6">
      <c r="B2080" s="1"/>
      <c r="C2080" s="1"/>
      <c r="D2080" s="1"/>
      <c r="E2080" s="8"/>
      <c r="F2080" s="5"/>
    </row>
    <row r="2081" spans="2:6">
      <c r="B2081" s="1"/>
      <c r="C2081" s="1"/>
      <c r="D2081" s="1"/>
      <c r="E2081" s="8"/>
      <c r="F2081" s="5"/>
    </row>
    <row r="2082" spans="2:6">
      <c r="B2082" s="1"/>
      <c r="C2082" s="1"/>
      <c r="D2082" s="1"/>
      <c r="E2082" s="8"/>
      <c r="F2082" s="5"/>
    </row>
    <row r="2083" spans="2:6">
      <c r="B2083" s="1"/>
      <c r="C2083" s="1"/>
      <c r="D2083" s="1"/>
      <c r="E2083" s="8"/>
      <c r="F2083" s="5"/>
    </row>
    <row r="2084" spans="2:6">
      <c r="B2084" s="1"/>
      <c r="C2084" s="1"/>
      <c r="D2084" s="1"/>
      <c r="E2084" s="8"/>
      <c r="F2084" s="5"/>
    </row>
    <row r="2085" spans="2:6">
      <c r="B2085" s="1"/>
      <c r="C2085" s="1"/>
      <c r="D2085" s="1"/>
      <c r="E2085" s="8"/>
      <c r="F2085" s="5"/>
    </row>
    <row r="2086" spans="2:6">
      <c r="B2086" s="1"/>
      <c r="C2086" s="1"/>
      <c r="D2086" s="1"/>
      <c r="E2086" s="8"/>
      <c r="F2086" s="5"/>
    </row>
    <row r="2087" spans="2:6">
      <c r="B2087" s="1"/>
      <c r="C2087" s="1"/>
      <c r="D2087" s="1"/>
      <c r="E2087" s="8"/>
      <c r="F2087" s="5"/>
    </row>
    <row r="2088" spans="2:6">
      <c r="B2088" s="1"/>
      <c r="C2088" s="1"/>
      <c r="D2088" s="1"/>
      <c r="E2088" s="8"/>
      <c r="F2088" s="5"/>
    </row>
    <row r="2089" spans="2:6">
      <c r="B2089" s="1"/>
      <c r="C2089" s="1"/>
      <c r="D2089" s="1"/>
      <c r="E2089" s="8"/>
      <c r="F2089" s="5"/>
    </row>
    <row r="2090" spans="2:6">
      <c r="B2090" s="1"/>
      <c r="C2090" s="1"/>
      <c r="D2090" s="1"/>
      <c r="E2090" s="8"/>
      <c r="F2090" s="5"/>
    </row>
    <row r="2091" spans="2:6">
      <c r="B2091" s="1"/>
      <c r="C2091" s="1"/>
      <c r="D2091" s="1"/>
      <c r="E2091" s="8"/>
      <c r="F2091" s="5"/>
    </row>
    <row r="2092" spans="2:6">
      <c r="B2092" s="1"/>
      <c r="C2092" s="1"/>
      <c r="D2092" s="1"/>
      <c r="E2092" s="8"/>
      <c r="F2092" s="5"/>
    </row>
    <row r="2093" spans="2:6">
      <c r="B2093" s="1"/>
      <c r="C2093" s="1"/>
      <c r="D2093" s="1"/>
      <c r="E2093" s="8"/>
      <c r="F2093" s="5"/>
    </row>
    <row r="2094" spans="2:6">
      <c r="B2094" s="1"/>
      <c r="C2094" s="1"/>
      <c r="D2094" s="1"/>
      <c r="E2094" s="8"/>
      <c r="F2094" s="5"/>
    </row>
    <row r="2095" spans="2:6">
      <c r="B2095" s="1"/>
      <c r="C2095" s="1"/>
      <c r="D2095" s="1"/>
      <c r="E2095" s="8"/>
      <c r="F2095" s="5"/>
    </row>
    <row r="2096" spans="2:6">
      <c r="B2096" s="1"/>
      <c r="C2096" s="1"/>
      <c r="D2096" s="1"/>
      <c r="E2096" s="8"/>
      <c r="F2096" s="5"/>
    </row>
    <row r="2097" spans="2:6">
      <c r="B2097" s="1"/>
      <c r="C2097" s="1"/>
      <c r="D2097" s="1"/>
      <c r="E2097" s="8"/>
      <c r="F2097" s="5"/>
    </row>
    <row r="2098" spans="2:6">
      <c r="B2098" s="1"/>
      <c r="C2098" s="1"/>
      <c r="D2098" s="1"/>
      <c r="E2098" s="8"/>
      <c r="F2098" s="5"/>
    </row>
    <row r="2099" spans="2:6">
      <c r="B2099" s="1"/>
      <c r="C2099" s="1"/>
      <c r="D2099" s="1"/>
      <c r="E2099" s="8"/>
      <c r="F2099" s="5"/>
    </row>
    <row r="2100" spans="2:6">
      <c r="B2100" s="1"/>
      <c r="C2100" s="1"/>
      <c r="D2100" s="1"/>
      <c r="E2100" s="8"/>
      <c r="F2100" s="5"/>
    </row>
    <row r="2101" spans="2:6">
      <c r="B2101" s="1"/>
      <c r="C2101" s="1"/>
      <c r="D2101" s="1"/>
      <c r="E2101" s="8"/>
      <c r="F2101" s="5"/>
    </row>
    <row r="2102" spans="2:6">
      <c r="B2102" s="1"/>
      <c r="C2102" s="1"/>
      <c r="D2102" s="1"/>
      <c r="E2102" s="8"/>
      <c r="F2102" s="5"/>
    </row>
    <row r="2103" spans="2:6">
      <c r="B2103" s="1"/>
      <c r="C2103" s="1"/>
      <c r="D2103" s="1"/>
      <c r="E2103" s="8"/>
      <c r="F2103" s="5"/>
    </row>
    <row r="2104" spans="2:6">
      <c r="B2104" s="1"/>
      <c r="C2104" s="1"/>
      <c r="D2104" s="1"/>
      <c r="E2104" s="8"/>
      <c r="F2104" s="5"/>
    </row>
    <row r="2105" spans="2:6">
      <c r="B2105" s="1"/>
      <c r="C2105" s="1"/>
      <c r="D2105" s="1"/>
      <c r="E2105" s="8"/>
      <c r="F2105" s="5"/>
    </row>
    <row r="2106" spans="2:6">
      <c r="B2106" s="1"/>
      <c r="C2106" s="1"/>
      <c r="D2106" s="1"/>
      <c r="E2106" s="8"/>
      <c r="F2106" s="5"/>
    </row>
    <row r="2107" spans="2:6">
      <c r="B2107" s="1"/>
      <c r="C2107" s="1"/>
      <c r="D2107" s="1"/>
      <c r="E2107" s="8"/>
      <c r="F2107" s="5"/>
    </row>
    <row r="2108" spans="2:6">
      <c r="B2108" s="1"/>
      <c r="C2108" s="1"/>
      <c r="D2108" s="1"/>
      <c r="E2108" s="8"/>
      <c r="F2108" s="5"/>
    </row>
    <row r="2109" spans="2:6">
      <c r="B2109" s="1"/>
      <c r="C2109" s="1"/>
      <c r="D2109" s="1"/>
      <c r="E2109" s="8"/>
      <c r="F2109" s="5"/>
    </row>
    <row r="2110" spans="2:6">
      <c r="B2110" s="1"/>
      <c r="C2110" s="1"/>
      <c r="D2110" s="1"/>
      <c r="E2110" s="8"/>
      <c r="F2110" s="5"/>
    </row>
    <row r="2111" spans="2:6">
      <c r="B2111" s="1"/>
      <c r="C2111" s="1"/>
      <c r="D2111" s="1"/>
      <c r="E2111" s="8"/>
      <c r="F2111" s="5"/>
    </row>
    <row r="2112" spans="2:6">
      <c r="B2112" s="1"/>
      <c r="C2112" s="1"/>
      <c r="D2112" s="1"/>
      <c r="E2112" s="8"/>
      <c r="F2112" s="5"/>
    </row>
    <row r="2113" spans="2:6">
      <c r="B2113" s="1"/>
      <c r="C2113" s="1"/>
      <c r="D2113" s="1"/>
      <c r="E2113" s="8"/>
      <c r="F2113" s="5"/>
    </row>
    <row r="2114" spans="2:6">
      <c r="B2114" s="1"/>
      <c r="C2114" s="1"/>
      <c r="D2114" s="1"/>
      <c r="E2114" s="8"/>
      <c r="F2114" s="5"/>
    </row>
    <row r="2115" spans="2:6">
      <c r="B2115" s="1"/>
      <c r="C2115" s="1"/>
      <c r="D2115" s="1"/>
      <c r="E2115" s="8"/>
      <c r="F2115" s="5"/>
    </row>
    <row r="2116" spans="2:6">
      <c r="B2116" s="1"/>
      <c r="C2116" s="1"/>
      <c r="D2116" s="1"/>
      <c r="E2116" s="8"/>
      <c r="F2116" s="5"/>
    </row>
    <row r="2117" spans="2:6">
      <c r="B2117" s="1"/>
      <c r="C2117" s="1"/>
      <c r="D2117" s="1"/>
      <c r="E2117" s="8"/>
      <c r="F2117" s="5"/>
    </row>
    <row r="2118" spans="2:6">
      <c r="B2118" s="1"/>
      <c r="C2118" s="1"/>
      <c r="D2118" s="1"/>
      <c r="E2118" s="8"/>
      <c r="F2118" s="5"/>
    </row>
    <row r="2119" spans="2:6">
      <c r="B2119" s="1"/>
      <c r="C2119" s="1"/>
      <c r="D2119" s="1"/>
      <c r="E2119" s="8"/>
      <c r="F2119" s="5"/>
    </row>
    <row r="2120" spans="2:6">
      <c r="B2120" s="1"/>
      <c r="C2120" s="1"/>
      <c r="D2120" s="1"/>
      <c r="E2120" s="8"/>
      <c r="F2120" s="5"/>
    </row>
    <row r="2121" spans="2:6">
      <c r="B2121" s="1"/>
      <c r="C2121" s="1"/>
      <c r="D2121" s="1"/>
      <c r="E2121" s="8"/>
      <c r="F2121" s="5"/>
    </row>
    <row r="2122" spans="2:6">
      <c r="B2122" s="1"/>
      <c r="C2122" s="1"/>
      <c r="D2122" s="1"/>
      <c r="E2122" s="8"/>
      <c r="F2122" s="5"/>
    </row>
    <row r="2123" spans="2:6">
      <c r="B2123" s="1"/>
      <c r="C2123" s="1"/>
      <c r="D2123" s="1"/>
      <c r="E2123" s="8"/>
      <c r="F2123" s="5"/>
    </row>
    <row r="2124" spans="2:6">
      <c r="B2124" s="1"/>
      <c r="C2124" s="1"/>
      <c r="D2124" s="1"/>
      <c r="E2124" s="8"/>
      <c r="F2124" s="5"/>
    </row>
    <row r="2125" spans="2:6">
      <c r="B2125" s="1"/>
      <c r="C2125" s="1"/>
      <c r="D2125" s="1"/>
      <c r="E2125" s="8"/>
      <c r="F2125" s="5"/>
    </row>
    <row r="2126" spans="2:6">
      <c r="B2126" s="1"/>
      <c r="C2126" s="1"/>
      <c r="D2126" s="1"/>
      <c r="E2126" s="8"/>
      <c r="F2126" s="5"/>
    </row>
    <row r="2127" spans="2:6">
      <c r="B2127" s="1"/>
      <c r="C2127" s="1"/>
      <c r="D2127" s="1"/>
      <c r="E2127" s="8"/>
      <c r="F2127" s="5"/>
    </row>
    <row r="2128" spans="2:6">
      <c r="B2128" s="1"/>
      <c r="C2128" s="1"/>
      <c r="D2128" s="1"/>
      <c r="E2128" s="8"/>
      <c r="F2128" s="5"/>
    </row>
    <row r="2129" spans="2:6">
      <c r="B2129" s="1"/>
      <c r="C2129" s="1"/>
      <c r="D2129" s="1"/>
      <c r="E2129" s="8"/>
      <c r="F2129" s="5"/>
    </row>
    <row r="2130" spans="2:6">
      <c r="B2130" s="1"/>
      <c r="C2130" s="1"/>
      <c r="D2130" s="1"/>
      <c r="E2130" s="8"/>
      <c r="F2130" s="5"/>
    </row>
    <row r="2131" spans="2:6">
      <c r="B2131" s="1"/>
      <c r="C2131" s="1"/>
      <c r="D2131" s="1"/>
      <c r="E2131" s="8"/>
      <c r="F2131" s="5"/>
    </row>
    <row r="2132" spans="2:6">
      <c r="B2132" s="1"/>
      <c r="C2132" s="1"/>
      <c r="D2132" s="1"/>
      <c r="E2132" s="8"/>
      <c r="F2132" s="5"/>
    </row>
    <row r="2133" spans="2:6">
      <c r="B2133" s="1"/>
      <c r="C2133" s="1"/>
      <c r="D2133" s="1"/>
      <c r="E2133" s="8"/>
      <c r="F2133" s="5"/>
    </row>
    <row r="2134" spans="2:6">
      <c r="B2134" s="1"/>
      <c r="C2134" s="1"/>
      <c r="D2134" s="1"/>
      <c r="E2134" s="8"/>
      <c r="F2134" s="5"/>
    </row>
    <row r="2135" spans="2:6">
      <c r="B2135" s="1"/>
      <c r="C2135" s="1"/>
      <c r="D2135" s="1"/>
      <c r="E2135" s="8"/>
      <c r="F2135" s="5"/>
    </row>
    <row r="2136" spans="2:6">
      <c r="B2136" s="1"/>
      <c r="C2136" s="1"/>
      <c r="D2136" s="1"/>
      <c r="E2136" s="8"/>
      <c r="F2136" s="5"/>
    </row>
    <row r="2137" spans="2:6">
      <c r="B2137" s="1"/>
      <c r="C2137" s="1"/>
      <c r="D2137" s="1"/>
      <c r="E2137" s="8"/>
      <c r="F2137" s="5"/>
    </row>
    <row r="2138" spans="2:6">
      <c r="B2138" s="1"/>
      <c r="C2138" s="1"/>
      <c r="D2138" s="1"/>
      <c r="E2138" s="8"/>
      <c r="F2138" s="5"/>
    </row>
    <row r="2139" spans="2:6">
      <c r="B2139" s="1"/>
      <c r="C2139" s="1"/>
      <c r="D2139" s="1"/>
      <c r="E2139" s="8"/>
      <c r="F2139" s="5"/>
    </row>
    <row r="2140" spans="2:6">
      <c r="B2140" s="1"/>
      <c r="C2140" s="1"/>
      <c r="D2140" s="1"/>
      <c r="E2140" s="8"/>
      <c r="F2140" s="5"/>
    </row>
    <row r="2141" spans="2:6">
      <c r="B2141" s="1"/>
      <c r="C2141" s="1"/>
      <c r="D2141" s="1"/>
      <c r="E2141" s="8"/>
      <c r="F2141" s="5"/>
    </row>
    <row r="2142" spans="2:6">
      <c r="B2142" s="1"/>
      <c r="C2142" s="1"/>
      <c r="D2142" s="1"/>
      <c r="E2142" s="8"/>
      <c r="F2142" s="5"/>
    </row>
    <row r="2143" spans="2:6">
      <c r="B2143" s="1"/>
      <c r="C2143" s="1"/>
      <c r="D2143" s="1"/>
      <c r="E2143" s="8"/>
      <c r="F2143" s="5"/>
    </row>
    <row r="2144" spans="2:6">
      <c r="B2144" s="1"/>
      <c r="C2144" s="1"/>
      <c r="D2144" s="1"/>
      <c r="E2144" s="8"/>
      <c r="F2144" s="5"/>
    </row>
    <row r="2145" spans="2:6">
      <c r="B2145" s="1"/>
      <c r="C2145" s="1"/>
      <c r="D2145" s="1"/>
      <c r="E2145" s="8"/>
      <c r="F2145" s="5"/>
    </row>
    <row r="2146" spans="2:6">
      <c r="B2146" s="1"/>
      <c r="C2146" s="1"/>
      <c r="D2146" s="1"/>
      <c r="E2146" s="8"/>
      <c r="F2146" s="5"/>
    </row>
    <row r="2147" spans="2:6">
      <c r="B2147" s="1"/>
      <c r="C2147" s="1"/>
      <c r="D2147" s="1"/>
      <c r="E2147" s="8"/>
      <c r="F2147" s="5"/>
    </row>
    <row r="2148" spans="2:6">
      <c r="B2148" s="1"/>
      <c r="C2148" s="1"/>
      <c r="D2148" s="1"/>
      <c r="E2148" s="8"/>
      <c r="F2148" s="5"/>
    </row>
  </sheetData>
  <mergeCells count="3">
    <mergeCell ref="C109:L110"/>
    <mergeCell ref="C246:C247"/>
    <mergeCell ref="D246:N246"/>
  </mergeCells>
  <phoneticPr fontId="32" type="noConversion"/>
  <pageMargins left="0.75" right="0.75" top="1" bottom="1" header="0.5" footer="0.5"/>
  <pageSetup paperSize="9" orientation="portrait"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XFD60"/>
  <sheetViews>
    <sheetView topLeftCell="B5" workbookViewId="0">
      <selection activeCell="N21" sqref="N21"/>
    </sheetView>
  </sheetViews>
  <sheetFormatPr defaultRowHeight="15"/>
  <cols>
    <col min="1" max="1" width="1.7109375" style="452" customWidth="1"/>
    <col min="2" max="2" width="8.85546875" style="452" bestFit="1" customWidth="1"/>
    <col min="3" max="5" width="13.28515625" style="452" bestFit="1" customWidth="1"/>
    <col min="6" max="6" width="8" style="452" bestFit="1" customWidth="1"/>
    <col min="7" max="7" width="6.5703125" style="452" bestFit="1" customWidth="1"/>
    <col min="8" max="46" width="8" style="452" bestFit="1" customWidth="1"/>
    <col min="47" max="256" width="9.140625" style="452"/>
    <col min="257" max="257" width="10.140625" style="452" bestFit="1" customWidth="1"/>
    <col min="258" max="258" width="8.85546875" style="452" bestFit="1" customWidth="1"/>
    <col min="259" max="259" width="13.28515625" style="452" bestFit="1" customWidth="1"/>
    <col min="260" max="260" width="5.140625" style="452" bestFit="1" customWidth="1"/>
    <col min="261" max="262" width="10.7109375" style="452" customWidth="1"/>
    <col min="263" max="263" width="9.5703125" style="452" bestFit="1" customWidth="1"/>
    <col min="264" max="270" width="9.28515625" style="452" bestFit="1" customWidth="1"/>
    <col min="271" max="302" width="9.5703125" style="452" bestFit="1" customWidth="1"/>
    <col min="303" max="512" width="9.140625" style="452"/>
    <col min="513" max="513" width="10.140625" style="452" bestFit="1" customWidth="1"/>
    <col min="514" max="514" width="8.85546875" style="452" bestFit="1" customWidth="1"/>
    <col min="515" max="515" width="13.28515625" style="452" bestFit="1" customWidth="1"/>
    <col min="516" max="516" width="5.140625" style="452" bestFit="1" customWidth="1"/>
    <col min="517" max="518" width="10.7109375" style="452" customWidth="1"/>
    <col min="519" max="519" width="9.5703125" style="452" bestFit="1" customWidth="1"/>
    <col min="520" max="526" width="9.28515625" style="452" bestFit="1" customWidth="1"/>
    <col min="527" max="558" width="9.5703125" style="452" bestFit="1" customWidth="1"/>
    <col min="559" max="768" width="9.140625" style="452"/>
    <col min="769" max="769" width="10.140625" style="452" bestFit="1" customWidth="1"/>
    <col min="770" max="770" width="8.85546875" style="452" bestFit="1" customWidth="1"/>
    <col min="771" max="771" width="13.28515625" style="452" bestFit="1" customWidth="1"/>
    <col min="772" max="772" width="5.140625" style="452" bestFit="1" customWidth="1"/>
    <col min="773" max="774" width="10.7109375" style="452" customWidth="1"/>
    <col min="775" max="775" width="9.5703125" style="452" bestFit="1" customWidth="1"/>
    <col min="776" max="782" width="9.28515625" style="452" bestFit="1" customWidth="1"/>
    <col min="783" max="814" width="9.5703125" style="452" bestFit="1" customWidth="1"/>
    <col min="815" max="1024" width="9.140625" style="452"/>
    <col min="1025" max="1025" width="10.140625" style="452" bestFit="1" customWidth="1"/>
    <col min="1026" max="1026" width="8.85546875" style="452" bestFit="1" customWidth="1"/>
    <col min="1027" max="1027" width="13.28515625" style="452" bestFit="1" customWidth="1"/>
    <col min="1028" max="1028" width="5.140625" style="452" bestFit="1" customWidth="1"/>
    <col min="1029" max="1030" width="10.7109375" style="452" customWidth="1"/>
    <col min="1031" max="1031" width="9.5703125" style="452" bestFit="1" customWidth="1"/>
    <col min="1032" max="1038" width="9.28515625" style="452" bestFit="1" customWidth="1"/>
    <col min="1039" max="1070" width="9.5703125" style="452" bestFit="1" customWidth="1"/>
    <col min="1071" max="1280" width="9.140625" style="452"/>
    <col min="1281" max="1281" width="10.140625" style="452" bestFit="1" customWidth="1"/>
    <col min="1282" max="1282" width="8.85546875" style="452" bestFit="1" customWidth="1"/>
    <col min="1283" max="1283" width="13.28515625" style="452" bestFit="1" customWidth="1"/>
    <col min="1284" max="1284" width="5.140625" style="452" bestFit="1" customWidth="1"/>
    <col min="1285" max="1286" width="10.7109375" style="452" customWidth="1"/>
    <col min="1287" max="1287" width="9.5703125" style="452" bestFit="1" customWidth="1"/>
    <col min="1288" max="1294" width="9.28515625" style="452" bestFit="1" customWidth="1"/>
    <col min="1295" max="1326" width="9.5703125" style="452" bestFit="1" customWidth="1"/>
    <col min="1327" max="1536" width="9.140625" style="452"/>
    <col min="1537" max="1537" width="10.140625" style="452" bestFit="1" customWidth="1"/>
    <col min="1538" max="1538" width="8.85546875" style="452" bestFit="1" customWidth="1"/>
    <col min="1539" max="1539" width="13.28515625" style="452" bestFit="1" customWidth="1"/>
    <col min="1540" max="1540" width="5.140625" style="452" bestFit="1" customWidth="1"/>
    <col min="1541" max="1542" width="10.7109375" style="452" customWidth="1"/>
    <col min="1543" max="1543" width="9.5703125" style="452" bestFit="1" customWidth="1"/>
    <col min="1544" max="1550" width="9.28515625" style="452" bestFit="1" customWidth="1"/>
    <col min="1551" max="1582" width="9.5703125" style="452" bestFit="1" customWidth="1"/>
    <col min="1583" max="1792" width="9.140625" style="452"/>
    <col min="1793" max="1793" width="10.140625" style="452" bestFit="1" customWidth="1"/>
    <col min="1794" max="1794" width="8.85546875" style="452" bestFit="1" customWidth="1"/>
    <col min="1795" max="1795" width="13.28515625" style="452" bestFit="1" customWidth="1"/>
    <col min="1796" max="1796" width="5.140625" style="452" bestFit="1" customWidth="1"/>
    <col min="1797" max="1798" width="10.7109375" style="452" customWidth="1"/>
    <col min="1799" max="1799" width="9.5703125" style="452" bestFit="1" customWidth="1"/>
    <col min="1800" max="1806" width="9.28515625" style="452" bestFit="1" customWidth="1"/>
    <col min="1807" max="1838" width="9.5703125" style="452" bestFit="1" customWidth="1"/>
    <col min="1839" max="2048" width="9.140625" style="452"/>
    <col min="2049" max="2049" width="10.140625" style="452" bestFit="1" customWidth="1"/>
    <col min="2050" max="2050" width="8.85546875" style="452" bestFit="1" customWidth="1"/>
    <col min="2051" max="2051" width="13.28515625" style="452" bestFit="1" customWidth="1"/>
    <col min="2052" max="2052" width="5.140625" style="452" bestFit="1" customWidth="1"/>
    <col min="2053" max="2054" width="10.7109375" style="452" customWidth="1"/>
    <col min="2055" max="2055" width="9.5703125" style="452" bestFit="1" customWidth="1"/>
    <col min="2056" max="2062" width="9.28515625" style="452" bestFit="1" customWidth="1"/>
    <col min="2063" max="2094" width="9.5703125" style="452" bestFit="1" customWidth="1"/>
    <col min="2095" max="2304" width="9.140625" style="452"/>
    <col min="2305" max="2305" width="10.140625" style="452" bestFit="1" customWidth="1"/>
    <col min="2306" max="2306" width="8.85546875" style="452" bestFit="1" customWidth="1"/>
    <col min="2307" max="2307" width="13.28515625" style="452" bestFit="1" customWidth="1"/>
    <col min="2308" max="2308" width="5.140625" style="452" bestFit="1" customWidth="1"/>
    <col min="2309" max="2310" width="10.7109375" style="452" customWidth="1"/>
    <col min="2311" max="2311" width="9.5703125" style="452" bestFit="1" customWidth="1"/>
    <col min="2312" max="2318" width="9.28515625" style="452" bestFit="1" customWidth="1"/>
    <col min="2319" max="2350" width="9.5703125" style="452" bestFit="1" customWidth="1"/>
    <col min="2351" max="2560" width="9.140625" style="452"/>
    <col min="2561" max="2561" width="10.140625" style="452" bestFit="1" customWidth="1"/>
    <col min="2562" max="2562" width="8.85546875" style="452" bestFit="1" customWidth="1"/>
    <col min="2563" max="2563" width="13.28515625" style="452" bestFit="1" customWidth="1"/>
    <col min="2564" max="2564" width="5.140625" style="452" bestFit="1" customWidth="1"/>
    <col min="2565" max="2566" width="10.7109375" style="452" customWidth="1"/>
    <col min="2567" max="2567" width="9.5703125" style="452" bestFit="1" customWidth="1"/>
    <col min="2568" max="2574" width="9.28515625" style="452" bestFit="1" customWidth="1"/>
    <col min="2575" max="2606" width="9.5703125" style="452" bestFit="1" customWidth="1"/>
    <col min="2607" max="2816" width="9.140625" style="452"/>
    <col min="2817" max="2817" width="10.140625" style="452" bestFit="1" customWidth="1"/>
    <col min="2818" max="2818" width="8.85546875" style="452" bestFit="1" customWidth="1"/>
    <col min="2819" max="2819" width="13.28515625" style="452" bestFit="1" customWidth="1"/>
    <col min="2820" max="2820" width="5.140625" style="452" bestFit="1" customWidth="1"/>
    <col min="2821" max="2822" width="10.7109375" style="452" customWidth="1"/>
    <col min="2823" max="2823" width="9.5703125" style="452" bestFit="1" customWidth="1"/>
    <col min="2824" max="2830" width="9.28515625" style="452" bestFit="1" customWidth="1"/>
    <col min="2831" max="2862" width="9.5703125" style="452" bestFit="1" customWidth="1"/>
    <col min="2863" max="3072" width="9.140625" style="452"/>
    <col min="3073" max="3073" width="10.140625" style="452" bestFit="1" customWidth="1"/>
    <col min="3074" max="3074" width="8.85546875" style="452" bestFit="1" customWidth="1"/>
    <col min="3075" max="3075" width="13.28515625" style="452" bestFit="1" customWidth="1"/>
    <col min="3076" max="3076" width="5.140625" style="452" bestFit="1" customWidth="1"/>
    <col min="3077" max="3078" width="10.7109375" style="452" customWidth="1"/>
    <col min="3079" max="3079" width="9.5703125" style="452" bestFit="1" customWidth="1"/>
    <col min="3080" max="3086" width="9.28515625" style="452" bestFit="1" customWidth="1"/>
    <col min="3087" max="3118" width="9.5703125" style="452" bestFit="1" customWidth="1"/>
    <col min="3119" max="3328" width="9.140625" style="452"/>
    <col min="3329" max="3329" width="10.140625" style="452" bestFit="1" customWidth="1"/>
    <col min="3330" max="3330" width="8.85546875" style="452" bestFit="1" customWidth="1"/>
    <col min="3331" max="3331" width="13.28515625" style="452" bestFit="1" customWidth="1"/>
    <col min="3332" max="3332" width="5.140625" style="452" bestFit="1" customWidth="1"/>
    <col min="3333" max="3334" width="10.7109375" style="452" customWidth="1"/>
    <col min="3335" max="3335" width="9.5703125" style="452" bestFit="1" customWidth="1"/>
    <col min="3336" max="3342" width="9.28515625" style="452" bestFit="1" customWidth="1"/>
    <col min="3343" max="3374" width="9.5703125" style="452" bestFit="1" customWidth="1"/>
    <col min="3375" max="3584" width="9.140625" style="452"/>
    <col min="3585" max="3585" width="10.140625" style="452" bestFit="1" customWidth="1"/>
    <col min="3586" max="3586" width="8.85546875" style="452" bestFit="1" customWidth="1"/>
    <col min="3587" max="3587" width="13.28515625" style="452" bestFit="1" customWidth="1"/>
    <col min="3588" max="3588" width="5.140625" style="452" bestFit="1" customWidth="1"/>
    <col min="3589" max="3590" width="10.7109375" style="452" customWidth="1"/>
    <col min="3591" max="3591" width="9.5703125" style="452" bestFit="1" customWidth="1"/>
    <col min="3592" max="3598" width="9.28515625" style="452" bestFit="1" customWidth="1"/>
    <col min="3599" max="3630" width="9.5703125" style="452" bestFit="1" customWidth="1"/>
    <col min="3631" max="3840" width="9.140625" style="452"/>
    <col min="3841" max="3841" width="10.140625" style="452" bestFit="1" customWidth="1"/>
    <col min="3842" max="3842" width="8.85546875" style="452" bestFit="1" customWidth="1"/>
    <col min="3843" max="3843" width="13.28515625" style="452" bestFit="1" customWidth="1"/>
    <col min="3844" max="3844" width="5.140625" style="452" bestFit="1" customWidth="1"/>
    <col min="3845" max="3846" width="10.7109375" style="452" customWidth="1"/>
    <col min="3847" max="3847" width="9.5703125" style="452" bestFit="1" customWidth="1"/>
    <col min="3848" max="3854" width="9.28515625" style="452" bestFit="1" customWidth="1"/>
    <col min="3855" max="3886" width="9.5703125" style="452" bestFit="1" customWidth="1"/>
    <col min="3887" max="4096" width="9.140625" style="452"/>
    <col min="4097" max="4097" width="10.140625" style="452" bestFit="1" customWidth="1"/>
    <col min="4098" max="4098" width="8.85546875" style="452" bestFit="1" customWidth="1"/>
    <col min="4099" max="4099" width="13.28515625" style="452" bestFit="1" customWidth="1"/>
    <col min="4100" max="4100" width="5.140625" style="452" bestFit="1" customWidth="1"/>
    <col min="4101" max="4102" width="10.7109375" style="452" customWidth="1"/>
    <col min="4103" max="4103" width="9.5703125" style="452" bestFit="1" customWidth="1"/>
    <col min="4104" max="4110" width="9.28515625" style="452" bestFit="1" customWidth="1"/>
    <col min="4111" max="4142" width="9.5703125" style="452" bestFit="1" customWidth="1"/>
    <col min="4143" max="4352" width="9.140625" style="452"/>
    <col min="4353" max="4353" width="10.140625" style="452" bestFit="1" customWidth="1"/>
    <col min="4354" max="4354" width="8.85546875" style="452" bestFit="1" customWidth="1"/>
    <col min="4355" max="4355" width="13.28515625" style="452" bestFit="1" customWidth="1"/>
    <col min="4356" max="4356" width="5.140625" style="452" bestFit="1" customWidth="1"/>
    <col min="4357" max="4358" width="10.7109375" style="452" customWidth="1"/>
    <col min="4359" max="4359" width="9.5703125" style="452" bestFit="1" customWidth="1"/>
    <col min="4360" max="4366" width="9.28515625" style="452" bestFit="1" customWidth="1"/>
    <col min="4367" max="4398" width="9.5703125" style="452" bestFit="1" customWidth="1"/>
    <col min="4399" max="4608" width="9.140625" style="452"/>
    <col min="4609" max="4609" width="10.140625" style="452" bestFit="1" customWidth="1"/>
    <col min="4610" max="4610" width="8.85546875" style="452" bestFit="1" customWidth="1"/>
    <col min="4611" max="4611" width="13.28515625" style="452" bestFit="1" customWidth="1"/>
    <col min="4612" max="4612" width="5.140625" style="452" bestFit="1" customWidth="1"/>
    <col min="4613" max="4614" width="10.7109375" style="452" customWidth="1"/>
    <col min="4615" max="4615" width="9.5703125" style="452" bestFit="1" customWidth="1"/>
    <col min="4616" max="4622" width="9.28515625" style="452" bestFit="1" customWidth="1"/>
    <col min="4623" max="4654" width="9.5703125" style="452" bestFit="1" customWidth="1"/>
    <col min="4655" max="4864" width="9.140625" style="452"/>
    <col min="4865" max="4865" width="10.140625" style="452" bestFit="1" customWidth="1"/>
    <col min="4866" max="4866" width="8.85546875" style="452" bestFit="1" customWidth="1"/>
    <col min="4867" max="4867" width="13.28515625" style="452" bestFit="1" customWidth="1"/>
    <col min="4868" max="4868" width="5.140625" style="452" bestFit="1" customWidth="1"/>
    <col min="4869" max="4870" width="10.7109375" style="452" customWidth="1"/>
    <col min="4871" max="4871" width="9.5703125" style="452" bestFit="1" customWidth="1"/>
    <col min="4872" max="4878" width="9.28515625" style="452" bestFit="1" customWidth="1"/>
    <col min="4879" max="4910" width="9.5703125" style="452" bestFit="1" customWidth="1"/>
    <col min="4911" max="5120" width="9.140625" style="452"/>
    <col min="5121" max="5121" width="10.140625" style="452" bestFit="1" customWidth="1"/>
    <col min="5122" max="5122" width="8.85546875" style="452" bestFit="1" customWidth="1"/>
    <col min="5123" max="5123" width="13.28515625" style="452" bestFit="1" customWidth="1"/>
    <col min="5124" max="5124" width="5.140625" style="452" bestFit="1" customWidth="1"/>
    <col min="5125" max="5126" width="10.7109375" style="452" customWidth="1"/>
    <col min="5127" max="5127" width="9.5703125" style="452" bestFit="1" customWidth="1"/>
    <col min="5128" max="5134" width="9.28515625" style="452" bestFit="1" customWidth="1"/>
    <col min="5135" max="5166" width="9.5703125" style="452" bestFit="1" customWidth="1"/>
    <col min="5167" max="5376" width="9.140625" style="452"/>
    <col min="5377" max="5377" width="10.140625" style="452" bestFit="1" customWidth="1"/>
    <col min="5378" max="5378" width="8.85546875" style="452" bestFit="1" customWidth="1"/>
    <col min="5379" max="5379" width="13.28515625" style="452" bestFit="1" customWidth="1"/>
    <col min="5380" max="5380" width="5.140625" style="452" bestFit="1" customWidth="1"/>
    <col min="5381" max="5382" width="10.7109375" style="452" customWidth="1"/>
    <col min="5383" max="5383" width="9.5703125" style="452" bestFit="1" customWidth="1"/>
    <col min="5384" max="5390" width="9.28515625" style="452" bestFit="1" customWidth="1"/>
    <col min="5391" max="5422" width="9.5703125" style="452" bestFit="1" customWidth="1"/>
    <col min="5423" max="5632" width="9.140625" style="452"/>
    <col min="5633" max="5633" width="10.140625" style="452" bestFit="1" customWidth="1"/>
    <col min="5634" max="5634" width="8.85546875" style="452" bestFit="1" customWidth="1"/>
    <col min="5635" max="5635" width="13.28515625" style="452" bestFit="1" customWidth="1"/>
    <col min="5636" max="5636" width="5.140625" style="452" bestFit="1" customWidth="1"/>
    <col min="5637" max="5638" width="10.7109375" style="452" customWidth="1"/>
    <col min="5639" max="5639" width="9.5703125" style="452" bestFit="1" customWidth="1"/>
    <col min="5640" max="5646" width="9.28515625" style="452" bestFit="1" customWidth="1"/>
    <col min="5647" max="5678" width="9.5703125" style="452" bestFit="1" customWidth="1"/>
    <col min="5679" max="5888" width="9.140625" style="452"/>
    <col min="5889" max="5889" width="10.140625" style="452" bestFit="1" customWidth="1"/>
    <col min="5890" max="5890" width="8.85546875" style="452" bestFit="1" customWidth="1"/>
    <col min="5891" max="5891" width="13.28515625" style="452" bestFit="1" customWidth="1"/>
    <col min="5892" max="5892" width="5.140625" style="452" bestFit="1" customWidth="1"/>
    <col min="5893" max="5894" width="10.7109375" style="452" customWidth="1"/>
    <col min="5895" max="5895" width="9.5703125" style="452" bestFit="1" customWidth="1"/>
    <col min="5896" max="5902" width="9.28515625" style="452" bestFit="1" customWidth="1"/>
    <col min="5903" max="5934" width="9.5703125" style="452" bestFit="1" customWidth="1"/>
    <col min="5935" max="6144" width="9.140625" style="452"/>
    <col min="6145" max="6145" width="10.140625" style="452" bestFit="1" customWidth="1"/>
    <col min="6146" max="6146" width="8.85546875" style="452" bestFit="1" customWidth="1"/>
    <col min="6147" max="6147" width="13.28515625" style="452" bestFit="1" customWidth="1"/>
    <col min="6148" max="6148" width="5.140625" style="452" bestFit="1" customWidth="1"/>
    <col min="6149" max="6150" width="10.7109375" style="452" customWidth="1"/>
    <col min="6151" max="6151" width="9.5703125" style="452" bestFit="1" customWidth="1"/>
    <col min="6152" max="6158" width="9.28515625" style="452" bestFit="1" customWidth="1"/>
    <col min="6159" max="6190" width="9.5703125" style="452" bestFit="1" customWidth="1"/>
    <col min="6191" max="6400" width="9.140625" style="452"/>
    <col min="6401" max="6401" width="10.140625" style="452" bestFit="1" customWidth="1"/>
    <col min="6402" max="6402" width="8.85546875" style="452" bestFit="1" customWidth="1"/>
    <col min="6403" max="6403" width="13.28515625" style="452" bestFit="1" customWidth="1"/>
    <col min="6404" max="6404" width="5.140625" style="452" bestFit="1" customWidth="1"/>
    <col min="6405" max="6406" width="10.7109375" style="452" customWidth="1"/>
    <col min="6407" max="6407" width="9.5703125" style="452" bestFit="1" customWidth="1"/>
    <col min="6408" max="6414" width="9.28515625" style="452" bestFit="1" customWidth="1"/>
    <col min="6415" max="6446" width="9.5703125" style="452" bestFit="1" customWidth="1"/>
    <col min="6447" max="6656" width="9.140625" style="452"/>
    <col min="6657" max="6657" width="10.140625" style="452" bestFit="1" customWidth="1"/>
    <col min="6658" max="6658" width="8.85546875" style="452" bestFit="1" customWidth="1"/>
    <col min="6659" max="6659" width="13.28515625" style="452" bestFit="1" customWidth="1"/>
    <col min="6660" max="6660" width="5.140625" style="452" bestFit="1" customWidth="1"/>
    <col min="6661" max="6662" width="10.7109375" style="452" customWidth="1"/>
    <col min="6663" max="6663" width="9.5703125" style="452" bestFit="1" customWidth="1"/>
    <col min="6664" max="6670" width="9.28515625" style="452" bestFit="1" customWidth="1"/>
    <col min="6671" max="6702" width="9.5703125" style="452" bestFit="1" customWidth="1"/>
    <col min="6703" max="6912" width="9.140625" style="452"/>
    <col min="6913" max="6913" width="10.140625" style="452" bestFit="1" customWidth="1"/>
    <col min="6914" max="6914" width="8.85546875" style="452" bestFit="1" customWidth="1"/>
    <col min="6915" max="6915" width="13.28515625" style="452" bestFit="1" customWidth="1"/>
    <col min="6916" max="6916" width="5.140625" style="452" bestFit="1" customWidth="1"/>
    <col min="6917" max="6918" width="10.7109375" style="452" customWidth="1"/>
    <col min="6919" max="6919" width="9.5703125" style="452" bestFit="1" customWidth="1"/>
    <col min="6920" max="6926" width="9.28515625" style="452" bestFit="1" customWidth="1"/>
    <col min="6927" max="6958" width="9.5703125" style="452" bestFit="1" customWidth="1"/>
    <col min="6959" max="7168" width="9.140625" style="452"/>
    <col min="7169" max="7169" width="10.140625" style="452" bestFit="1" customWidth="1"/>
    <col min="7170" max="7170" width="8.85546875" style="452" bestFit="1" customWidth="1"/>
    <col min="7171" max="7171" width="13.28515625" style="452" bestFit="1" customWidth="1"/>
    <col min="7172" max="7172" width="5.140625" style="452" bestFit="1" customWidth="1"/>
    <col min="7173" max="7174" width="10.7109375" style="452" customWidth="1"/>
    <col min="7175" max="7175" width="9.5703125" style="452" bestFit="1" customWidth="1"/>
    <col min="7176" max="7182" width="9.28515625" style="452" bestFit="1" customWidth="1"/>
    <col min="7183" max="7214" width="9.5703125" style="452" bestFit="1" customWidth="1"/>
    <col min="7215" max="7424" width="9.140625" style="452"/>
    <col min="7425" max="7425" width="10.140625" style="452" bestFit="1" customWidth="1"/>
    <col min="7426" max="7426" width="8.85546875" style="452" bestFit="1" customWidth="1"/>
    <col min="7427" max="7427" width="13.28515625" style="452" bestFit="1" customWidth="1"/>
    <col min="7428" max="7428" width="5.140625" style="452" bestFit="1" customWidth="1"/>
    <col min="7429" max="7430" width="10.7109375" style="452" customWidth="1"/>
    <col min="7431" max="7431" width="9.5703125" style="452" bestFit="1" customWidth="1"/>
    <col min="7432" max="7438" width="9.28515625" style="452" bestFit="1" customWidth="1"/>
    <col min="7439" max="7470" width="9.5703125" style="452" bestFit="1" customWidth="1"/>
    <col min="7471" max="7680" width="9.140625" style="452"/>
    <col min="7681" max="7681" width="10.140625" style="452" bestFit="1" customWidth="1"/>
    <col min="7682" max="7682" width="8.85546875" style="452" bestFit="1" customWidth="1"/>
    <col min="7683" max="7683" width="13.28515625" style="452" bestFit="1" customWidth="1"/>
    <col min="7684" max="7684" width="5.140625" style="452" bestFit="1" customWidth="1"/>
    <col min="7685" max="7686" width="10.7109375" style="452" customWidth="1"/>
    <col min="7687" max="7687" width="9.5703125" style="452" bestFit="1" customWidth="1"/>
    <col min="7688" max="7694" width="9.28515625" style="452" bestFit="1" customWidth="1"/>
    <col min="7695" max="7726" width="9.5703125" style="452" bestFit="1" customWidth="1"/>
    <col min="7727" max="7936" width="9.140625" style="452"/>
    <col min="7937" max="7937" width="10.140625" style="452" bestFit="1" customWidth="1"/>
    <col min="7938" max="7938" width="8.85546875" style="452" bestFit="1" customWidth="1"/>
    <col min="7939" max="7939" width="13.28515625" style="452" bestFit="1" customWidth="1"/>
    <col min="7940" max="7940" width="5.140625" style="452" bestFit="1" customWidth="1"/>
    <col min="7941" max="7942" width="10.7109375" style="452" customWidth="1"/>
    <col min="7943" max="7943" width="9.5703125" style="452" bestFit="1" customWidth="1"/>
    <col min="7944" max="7950" width="9.28515625" style="452" bestFit="1" customWidth="1"/>
    <col min="7951" max="7982" width="9.5703125" style="452" bestFit="1" customWidth="1"/>
    <col min="7983" max="8192" width="9.140625" style="452"/>
    <col min="8193" max="8193" width="10.140625" style="452" bestFit="1" customWidth="1"/>
    <col min="8194" max="8194" width="8.85546875" style="452" bestFit="1" customWidth="1"/>
    <col min="8195" max="8195" width="13.28515625" style="452" bestFit="1" customWidth="1"/>
    <col min="8196" max="8196" width="5.140625" style="452" bestFit="1" customWidth="1"/>
    <col min="8197" max="8198" width="10.7109375" style="452" customWidth="1"/>
    <col min="8199" max="8199" width="9.5703125" style="452" bestFit="1" customWidth="1"/>
    <col min="8200" max="8206" width="9.28515625" style="452" bestFit="1" customWidth="1"/>
    <col min="8207" max="8238" width="9.5703125" style="452" bestFit="1" customWidth="1"/>
    <col min="8239" max="8448" width="9.140625" style="452"/>
    <col min="8449" max="8449" width="10.140625" style="452" bestFit="1" customWidth="1"/>
    <col min="8450" max="8450" width="8.85546875" style="452" bestFit="1" customWidth="1"/>
    <col min="8451" max="8451" width="13.28515625" style="452" bestFit="1" customWidth="1"/>
    <col min="8452" max="8452" width="5.140625" style="452" bestFit="1" customWidth="1"/>
    <col min="8453" max="8454" width="10.7109375" style="452" customWidth="1"/>
    <col min="8455" max="8455" width="9.5703125" style="452" bestFit="1" customWidth="1"/>
    <col min="8456" max="8462" width="9.28515625" style="452" bestFit="1" customWidth="1"/>
    <col min="8463" max="8494" width="9.5703125" style="452" bestFit="1" customWidth="1"/>
    <col min="8495" max="8704" width="9.140625" style="452"/>
    <col min="8705" max="8705" width="10.140625" style="452" bestFit="1" customWidth="1"/>
    <col min="8706" max="8706" width="8.85546875" style="452" bestFit="1" customWidth="1"/>
    <col min="8707" max="8707" width="13.28515625" style="452" bestFit="1" customWidth="1"/>
    <col min="8708" max="8708" width="5.140625" style="452" bestFit="1" customWidth="1"/>
    <col min="8709" max="8710" width="10.7109375" style="452" customWidth="1"/>
    <col min="8711" max="8711" width="9.5703125" style="452" bestFit="1" customWidth="1"/>
    <col min="8712" max="8718" width="9.28515625" style="452" bestFit="1" customWidth="1"/>
    <col min="8719" max="8750" width="9.5703125" style="452" bestFit="1" customWidth="1"/>
    <col min="8751" max="8960" width="9.140625" style="452"/>
    <col min="8961" max="8961" width="10.140625" style="452" bestFit="1" customWidth="1"/>
    <col min="8962" max="8962" width="8.85546875" style="452" bestFit="1" customWidth="1"/>
    <col min="8963" max="8963" width="13.28515625" style="452" bestFit="1" customWidth="1"/>
    <col min="8964" max="8964" width="5.140625" style="452" bestFit="1" customWidth="1"/>
    <col min="8965" max="8966" width="10.7109375" style="452" customWidth="1"/>
    <col min="8967" max="8967" width="9.5703125" style="452" bestFit="1" customWidth="1"/>
    <col min="8968" max="8974" width="9.28515625" style="452" bestFit="1" customWidth="1"/>
    <col min="8975" max="9006" width="9.5703125" style="452" bestFit="1" customWidth="1"/>
    <col min="9007" max="9216" width="9.140625" style="452"/>
    <col min="9217" max="9217" width="10.140625" style="452" bestFit="1" customWidth="1"/>
    <col min="9218" max="9218" width="8.85546875" style="452" bestFit="1" customWidth="1"/>
    <col min="9219" max="9219" width="13.28515625" style="452" bestFit="1" customWidth="1"/>
    <col min="9220" max="9220" width="5.140625" style="452" bestFit="1" customWidth="1"/>
    <col min="9221" max="9222" width="10.7109375" style="452" customWidth="1"/>
    <col min="9223" max="9223" width="9.5703125" style="452" bestFit="1" customWidth="1"/>
    <col min="9224" max="9230" width="9.28515625" style="452" bestFit="1" customWidth="1"/>
    <col min="9231" max="9262" width="9.5703125" style="452" bestFit="1" customWidth="1"/>
    <col min="9263" max="9472" width="9.140625" style="452"/>
    <col min="9473" max="9473" width="10.140625" style="452" bestFit="1" customWidth="1"/>
    <col min="9474" max="9474" width="8.85546875" style="452" bestFit="1" customWidth="1"/>
    <col min="9475" max="9475" width="13.28515625" style="452" bestFit="1" customWidth="1"/>
    <col min="9476" max="9476" width="5.140625" style="452" bestFit="1" customWidth="1"/>
    <col min="9477" max="9478" width="10.7109375" style="452" customWidth="1"/>
    <col min="9479" max="9479" width="9.5703125" style="452" bestFit="1" customWidth="1"/>
    <col min="9480" max="9486" width="9.28515625" style="452" bestFit="1" customWidth="1"/>
    <col min="9487" max="9518" width="9.5703125" style="452" bestFit="1" customWidth="1"/>
    <col min="9519" max="9728" width="9.140625" style="452"/>
    <col min="9729" max="9729" width="10.140625" style="452" bestFit="1" customWidth="1"/>
    <col min="9730" max="9730" width="8.85546875" style="452" bestFit="1" customWidth="1"/>
    <col min="9731" max="9731" width="13.28515625" style="452" bestFit="1" customWidth="1"/>
    <col min="9732" max="9732" width="5.140625" style="452" bestFit="1" customWidth="1"/>
    <col min="9733" max="9734" width="10.7109375" style="452" customWidth="1"/>
    <col min="9735" max="9735" width="9.5703125" style="452" bestFit="1" customWidth="1"/>
    <col min="9736" max="9742" width="9.28515625" style="452" bestFit="1" customWidth="1"/>
    <col min="9743" max="9774" width="9.5703125" style="452" bestFit="1" customWidth="1"/>
    <col min="9775" max="9984" width="9.140625" style="452"/>
    <col min="9985" max="9985" width="10.140625" style="452" bestFit="1" customWidth="1"/>
    <col min="9986" max="9986" width="8.85546875" style="452" bestFit="1" customWidth="1"/>
    <col min="9987" max="9987" width="13.28515625" style="452" bestFit="1" customWidth="1"/>
    <col min="9988" max="9988" width="5.140625" style="452" bestFit="1" customWidth="1"/>
    <col min="9989" max="9990" width="10.7109375" style="452" customWidth="1"/>
    <col min="9991" max="9991" width="9.5703125" style="452" bestFit="1" customWidth="1"/>
    <col min="9992" max="9998" width="9.28515625" style="452" bestFit="1" customWidth="1"/>
    <col min="9999" max="10030" width="9.5703125" style="452" bestFit="1" customWidth="1"/>
    <col min="10031" max="10240" width="9.140625" style="452"/>
    <col min="10241" max="10241" width="10.140625" style="452" bestFit="1" customWidth="1"/>
    <col min="10242" max="10242" width="8.85546875" style="452" bestFit="1" customWidth="1"/>
    <col min="10243" max="10243" width="13.28515625" style="452" bestFit="1" customWidth="1"/>
    <col min="10244" max="10244" width="5.140625" style="452" bestFit="1" customWidth="1"/>
    <col min="10245" max="10246" width="10.7109375" style="452" customWidth="1"/>
    <col min="10247" max="10247" width="9.5703125" style="452" bestFit="1" customWidth="1"/>
    <col min="10248" max="10254" width="9.28515625" style="452" bestFit="1" customWidth="1"/>
    <col min="10255" max="10286" width="9.5703125" style="452" bestFit="1" customWidth="1"/>
    <col min="10287" max="10496" width="9.140625" style="452"/>
    <col min="10497" max="10497" width="10.140625" style="452" bestFit="1" customWidth="1"/>
    <col min="10498" max="10498" width="8.85546875" style="452" bestFit="1" customWidth="1"/>
    <col min="10499" max="10499" width="13.28515625" style="452" bestFit="1" customWidth="1"/>
    <col min="10500" max="10500" width="5.140625" style="452" bestFit="1" customWidth="1"/>
    <col min="10501" max="10502" width="10.7109375" style="452" customWidth="1"/>
    <col min="10503" max="10503" width="9.5703125" style="452" bestFit="1" customWidth="1"/>
    <col min="10504" max="10510" width="9.28515625" style="452" bestFit="1" customWidth="1"/>
    <col min="10511" max="10542" width="9.5703125" style="452" bestFit="1" customWidth="1"/>
    <col min="10543" max="10752" width="9.140625" style="452"/>
    <col min="10753" max="10753" width="10.140625" style="452" bestFit="1" customWidth="1"/>
    <col min="10754" max="10754" width="8.85546875" style="452" bestFit="1" customWidth="1"/>
    <col min="10755" max="10755" width="13.28515625" style="452" bestFit="1" customWidth="1"/>
    <col min="10756" max="10756" width="5.140625" style="452" bestFit="1" customWidth="1"/>
    <col min="10757" max="10758" width="10.7109375" style="452" customWidth="1"/>
    <col min="10759" max="10759" width="9.5703125" style="452" bestFit="1" customWidth="1"/>
    <col min="10760" max="10766" width="9.28515625" style="452" bestFit="1" customWidth="1"/>
    <col min="10767" max="10798" width="9.5703125" style="452" bestFit="1" customWidth="1"/>
    <col min="10799" max="11008" width="9.140625" style="452"/>
    <col min="11009" max="11009" width="10.140625" style="452" bestFit="1" customWidth="1"/>
    <col min="11010" max="11010" width="8.85546875" style="452" bestFit="1" customWidth="1"/>
    <col min="11011" max="11011" width="13.28515625" style="452" bestFit="1" customWidth="1"/>
    <col min="11012" max="11012" width="5.140625" style="452" bestFit="1" customWidth="1"/>
    <col min="11013" max="11014" width="10.7109375" style="452" customWidth="1"/>
    <col min="11015" max="11015" width="9.5703125" style="452" bestFit="1" customWidth="1"/>
    <col min="11016" max="11022" width="9.28515625" style="452" bestFit="1" customWidth="1"/>
    <col min="11023" max="11054" width="9.5703125" style="452" bestFit="1" customWidth="1"/>
    <col min="11055" max="11264" width="9.140625" style="452"/>
    <col min="11265" max="11265" width="10.140625" style="452" bestFit="1" customWidth="1"/>
    <col min="11266" max="11266" width="8.85546875" style="452" bestFit="1" customWidth="1"/>
    <col min="11267" max="11267" width="13.28515625" style="452" bestFit="1" customWidth="1"/>
    <col min="11268" max="11268" width="5.140625" style="452" bestFit="1" customWidth="1"/>
    <col min="11269" max="11270" width="10.7109375" style="452" customWidth="1"/>
    <col min="11271" max="11271" width="9.5703125" style="452" bestFit="1" customWidth="1"/>
    <col min="11272" max="11278" width="9.28515625" style="452" bestFit="1" customWidth="1"/>
    <col min="11279" max="11310" width="9.5703125" style="452" bestFit="1" customWidth="1"/>
    <col min="11311" max="11520" width="9.140625" style="452"/>
    <col min="11521" max="11521" width="10.140625" style="452" bestFit="1" customWidth="1"/>
    <col min="11522" max="11522" width="8.85546875" style="452" bestFit="1" customWidth="1"/>
    <col min="11523" max="11523" width="13.28515625" style="452" bestFit="1" customWidth="1"/>
    <col min="11524" max="11524" width="5.140625" style="452" bestFit="1" customWidth="1"/>
    <col min="11525" max="11526" width="10.7109375" style="452" customWidth="1"/>
    <col min="11527" max="11527" width="9.5703125" style="452" bestFit="1" customWidth="1"/>
    <col min="11528" max="11534" width="9.28515625" style="452" bestFit="1" customWidth="1"/>
    <col min="11535" max="11566" width="9.5703125" style="452" bestFit="1" customWidth="1"/>
    <col min="11567" max="11776" width="9.140625" style="452"/>
    <col min="11777" max="11777" width="10.140625" style="452" bestFit="1" customWidth="1"/>
    <col min="11778" max="11778" width="8.85546875" style="452" bestFit="1" customWidth="1"/>
    <col min="11779" max="11779" width="13.28515625" style="452" bestFit="1" customWidth="1"/>
    <col min="11780" max="11780" width="5.140625" style="452" bestFit="1" customWidth="1"/>
    <col min="11781" max="11782" width="10.7109375" style="452" customWidth="1"/>
    <col min="11783" max="11783" width="9.5703125" style="452" bestFit="1" customWidth="1"/>
    <col min="11784" max="11790" width="9.28515625" style="452" bestFit="1" customWidth="1"/>
    <col min="11791" max="11822" width="9.5703125" style="452" bestFit="1" customWidth="1"/>
    <col min="11823" max="12032" width="9.140625" style="452"/>
    <col min="12033" max="12033" width="10.140625" style="452" bestFit="1" customWidth="1"/>
    <col min="12034" max="12034" width="8.85546875" style="452" bestFit="1" customWidth="1"/>
    <col min="12035" max="12035" width="13.28515625" style="452" bestFit="1" customWidth="1"/>
    <col min="12036" max="12036" width="5.140625" style="452" bestFit="1" customWidth="1"/>
    <col min="12037" max="12038" width="10.7109375" style="452" customWidth="1"/>
    <col min="12039" max="12039" width="9.5703125" style="452" bestFit="1" customWidth="1"/>
    <col min="12040" max="12046" width="9.28515625" style="452" bestFit="1" customWidth="1"/>
    <col min="12047" max="12078" width="9.5703125" style="452" bestFit="1" customWidth="1"/>
    <col min="12079" max="12288" width="9.140625" style="452"/>
    <col min="12289" max="12289" width="10.140625" style="452" bestFit="1" customWidth="1"/>
    <col min="12290" max="12290" width="8.85546875" style="452" bestFit="1" customWidth="1"/>
    <col min="12291" max="12291" width="13.28515625" style="452" bestFit="1" customWidth="1"/>
    <col min="12292" max="12292" width="5.140625" style="452" bestFit="1" customWidth="1"/>
    <col min="12293" max="12294" width="10.7109375" style="452" customWidth="1"/>
    <col min="12295" max="12295" width="9.5703125" style="452" bestFit="1" customWidth="1"/>
    <col min="12296" max="12302" width="9.28515625" style="452" bestFit="1" customWidth="1"/>
    <col min="12303" max="12334" width="9.5703125" style="452" bestFit="1" customWidth="1"/>
    <col min="12335" max="12544" width="9.140625" style="452"/>
    <col min="12545" max="12545" width="10.140625" style="452" bestFit="1" customWidth="1"/>
    <col min="12546" max="12546" width="8.85546875" style="452" bestFit="1" customWidth="1"/>
    <col min="12547" max="12547" width="13.28515625" style="452" bestFit="1" customWidth="1"/>
    <col min="12548" max="12548" width="5.140625" style="452" bestFit="1" customWidth="1"/>
    <col min="12549" max="12550" width="10.7109375" style="452" customWidth="1"/>
    <col min="12551" max="12551" width="9.5703125" style="452" bestFit="1" customWidth="1"/>
    <col min="12552" max="12558" width="9.28515625" style="452" bestFit="1" customWidth="1"/>
    <col min="12559" max="12590" width="9.5703125" style="452" bestFit="1" customWidth="1"/>
    <col min="12591" max="12800" width="9.140625" style="452"/>
    <col min="12801" max="12801" width="10.140625" style="452" bestFit="1" customWidth="1"/>
    <col min="12802" max="12802" width="8.85546875" style="452" bestFit="1" customWidth="1"/>
    <col min="12803" max="12803" width="13.28515625" style="452" bestFit="1" customWidth="1"/>
    <col min="12804" max="12804" width="5.140625" style="452" bestFit="1" customWidth="1"/>
    <col min="12805" max="12806" width="10.7109375" style="452" customWidth="1"/>
    <col min="12807" max="12807" width="9.5703125" style="452" bestFit="1" customWidth="1"/>
    <col min="12808" max="12814" width="9.28515625" style="452" bestFit="1" customWidth="1"/>
    <col min="12815" max="12846" width="9.5703125" style="452" bestFit="1" customWidth="1"/>
    <col min="12847" max="13056" width="9.140625" style="452"/>
    <col min="13057" max="13057" width="10.140625" style="452" bestFit="1" customWidth="1"/>
    <col min="13058" max="13058" width="8.85546875" style="452" bestFit="1" customWidth="1"/>
    <col min="13059" max="13059" width="13.28515625" style="452" bestFit="1" customWidth="1"/>
    <col min="13060" max="13060" width="5.140625" style="452" bestFit="1" customWidth="1"/>
    <col min="13061" max="13062" width="10.7109375" style="452" customWidth="1"/>
    <col min="13063" max="13063" width="9.5703125" style="452" bestFit="1" customWidth="1"/>
    <col min="13064" max="13070" width="9.28515625" style="452" bestFit="1" customWidth="1"/>
    <col min="13071" max="13102" width="9.5703125" style="452" bestFit="1" customWidth="1"/>
    <col min="13103" max="13312" width="9.140625" style="452"/>
    <col min="13313" max="13313" width="10.140625" style="452" bestFit="1" customWidth="1"/>
    <col min="13314" max="13314" width="8.85546875" style="452" bestFit="1" customWidth="1"/>
    <col min="13315" max="13315" width="13.28515625" style="452" bestFit="1" customWidth="1"/>
    <col min="13316" max="13316" width="5.140625" style="452" bestFit="1" customWidth="1"/>
    <col min="13317" max="13318" width="10.7109375" style="452" customWidth="1"/>
    <col min="13319" max="13319" width="9.5703125" style="452" bestFit="1" customWidth="1"/>
    <col min="13320" max="13326" width="9.28515625" style="452" bestFit="1" customWidth="1"/>
    <col min="13327" max="13358" width="9.5703125" style="452" bestFit="1" customWidth="1"/>
    <col min="13359" max="13568" width="9.140625" style="452"/>
    <col min="13569" max="13569" width="10.140625" style="452" bestFit="1" customWidth="1"/>
    <col min="13570" max="13570" width="8.85546875" style="452" bestFit="1" customWidth="1"/>
    <col min="13571" max="13571" width="13.28515625" style="452" bestFit="1" customWidth="1"/>
    <col min="13572" max="13572" width="5.140625" style="452" bestFit="1" customWidth="1"/>
    <col min="13573" max="13574" width="10.7109375" style="452" customWidth="1"/>
    <col min="13575" max="13575" width="9.5703125" style="452" bestFit="1" customWidth="1"/>
    <col min="13576" max="13582" width="9.28515625" style="452" bestFit="1" customWidth="1"/>
    <col min="13583" max="13614" width="9.5703125" style="452" bestFit="1" customWidth="1"/>
    <col min="13615" max="13824" width="9.140625" style="452"/>
    <col min="13825" max="13825" width="10.140625" style="452" bestFit="1" customWidth="1"/>
    <col min="13826" max="13826" width="8.85546875" style="452" bestFit="1" customWidth="1"/>
    <col min="13827" max="13827" width="13.28515625" style="452" bestFit="1" customWidth="1"/>
    <col min="13828" max="13828" width="5.140625" style="452" bestFit="1" customWidth="1"/>
    <col min="13829" max="13830" width="10.7109375" style="452" customWidth="1"/>
    <col min="13831" max="13831" width="9.5703125" style="452" bestFit="1" customWidth="1"/>
    <col min="13832" max="13838" width="9.28515625" style="452" bestFit="1" customWidth="1"/>
    <col min="13839" max="13870" width="9.5703125" style="452" bestFit="1" customWidth="1"/>
    <col min="13871" max="14080" width="9.140625" style="452"/>
    <col min="14081" max="14081" width="10.140625" style="452" bestFit="1" customWidth="1"/>
    <col min="14082" max="14082" width="8.85546875" style="452" bestFit="1" customWidth="1"/>
    <col min="14083" max="14083" width="13.28515625" style="452" bestFit="1" customWidth="1"/>
    <col min="14084" max="14084" width="5.140625" style="452" bestFit="1" customWidth="1"/>
    <col min="14085" max="14086" width="10.7109375" style="452" customWidth="1"/>
    <col min="14087" max="14087" width="9.5703125" style="452" bestFit="1" customWidth="1"/>
    <col min="14088" max="14094" width="9.28515625" style="452" bestFit="1" customWidth="1"/>
    <col min="14095" max="14126" width="9.5703125" style="452" bestFit="1" customWidth="1"/>
    <col min="14127" max="14336" width="9.140625" style="452"/>
    <col min="14337" max="14337" width="10.140625" style="452" bestFit="1" customWidth="1"/>
    <col min="14338" max="14338" width="8.85546875" style="452" bestFit="1" customWidth="1"/>
    <col min="14339" max="14339" width="13.28515625" style="452" bestFit="1" customWidth="1"/>
    <col min="14340" max="14340" width="5.140625" style="452" bestFit="1" customWidth="1"/>
    <col min="14341" max="14342" width="10.7109375" style="452" customWidth="1"/>
    <col min="14343" max="14343" width="9.5703125" style="452" bestFit="1" customWidth="1"/>
    <col min="14344" max="14350" width="9.28515625" style="452" bestFit="1" customWidth="1"/>
    <col min="14351" max="14382" width="9.5703125" style="452" bestFit="1" customWidth="1"/>
    <col min="14383" max="14592" width="9.140625" style="452"/>
    <col min="14593" max="14593" width="10.140625" style="452" bestFit="1" customWidth="1"/>
    <col min="14594" max="14594" width="8.85546875" style="452" bestFit="1" customWidth="1"/>
    <col min="14595" max="14595" width="13.28515625" style="452" bestFit="1" customWidth="1"/>
    <col min="14596" max="14596" width="5.140625" style="452" bestFit="1" customWidth="1"/>
    <col min="14597" max="14598" width="10.7109375" style="452" customWidth="1"/>
    <col min="14599" max="14599" width="9.5703125" style="452" bestFit="1" customWidth="1"/>
    <col min="14600" max="14606" width="9.28515625" style="452" bestFit="1" customWidth="1"/>
    <col min="14607" max="14638" width="9.5703125" style="452" bestFit="1" customWidth="1"/>
    <col min="14639" max="14848" width="9.140625" style="452"/>
    <col min="14849" max="14849" width="10.140625" style="452" bestFit="1" customWidth="1"/>
    <col min="14850" max="14850" width="8.85546875" style="452" bestFit="1" customWidth="1"/>
    <col min="14851" max="14851" width="13.28515625" style="452" bestFit="1" customWidth="1"/>
    <col min="14852" max="14852" width="5.140625" style="452" bestFit="1" customWidth="1"/>
    <col min="14853" max="14854" width="10.7109375" style="452" customWidth="1"/>
    <col min="14855" max="14855" width="9.5703125" style="452" bestFit="1" customWidth="1"/>
    <col min="14856" max="14862" width="9.28515625" style="452" bestFit="1" customWidth="1"/>
    <col min="14863" max="14894" width="9.5703125" style="452" bestFit="1" customWidth="1"/>
    <col min="14895" max="15104" width="9.140625" style="452"/>
    <col min="15105" max="15105" width="10.140625" style="452" bestFit="1" customWidth="1"/>
    <col min="15106" max="15106" width="8.85546875" style="452" bestFit="1" customWidth="1"/>
    <col min="15107" max="15107" width="13.28515625" style="452" bestFit="1" customWidth="1"/>
    <col min="15108" max="15108" width="5.140625" style="452" bestFit="1" customWidth="1"/>
    <col min="15109" max="15110" width="10.7109375" style="452" customWidth="1"/>
    <col min="15111" max="15111" width="9.5703125" style="452" bestFit="1" customWidth="1"/>
    <col min="15112" max="15118" width="9.28515625" style="452" bestFit="1" customWidth="1"/>
    <col min="15119" max="15150" width="9.5703125" style="452" bestFit="1" customWidth="1"/>
    <col min="15151" max="15360" width="9.140625" style="452"/>
    <col min="15361" max="15361" width="10.140625" style="452" bestFit="1" customWidth="1"/>
    <col min="15362" max="15362" width="8.85546875" style="452" bestFit="1" customWidth="1"/>
    <col min="15363" max="15363" width="13.28515625" style="452" bestFit="1" customWidth="1"/>
    <col min="15364" max="15364" width="5.140625" style="452" bestFit="1" customWidth="1"/>
    <col min="15365" max="15366" width="10.7109375" style="452" customWidth="1"/>
    <col min="15367" max="15367" width="9.5703125" style="452" bestFit="1" customWidth="1"/>
    <col min="15368" max="15374" width="9.28515625" style="452" bestFit="1" customWidth="1"/>
    <col min="15375" max="15406" width="9.5703125" style="452" bestFit="1" customWidth="1"/>
    <col min="15407" max="15616" width="9.140625" style="452"/>
    <col min="15617" max="15617" width="10.140625" style="452" bestFit="1" customWidth="1"/>
    <col min="15618" max="15618" width="8.85546875" style="452" bestFit="1" customWidth="1"/>
    <col min="15619" max="15619" width="13.28515625" style="452" bestFit="1" customWidth="1"/>
    <col min="15620" max="15620" width="5.140625" style="452" bestFit="1" customWidth="1"/>
    <col min="15621" max="15622" width="10.7109375" style="452" customWidth="1"/>
    <col min="15623" max="15623" width="9.5703125" style="452" bestFit="1" customWidth="1"/>
    <col min="15624" max="15630" width="9.28515625" style="452" bestFit="1" customWidth="1"/>
    <col min="15631" max="15662" width="9.5703125" style="452" bestFit="1" customWidth="1"/>
    <col min="15663" max="15872" width="9.140625" style="452"/>
    <col min="15873" max="15873" width="10.140625" style="452" bestFit="1" customWidth="1"/>
    <col min="15874" max="15874" width="8.85546875" style="452" bestFit="1" customWidth="1"/>
    <col min="15875" max="15875" width="13.28515625" style="452" bestFit="1" customWidth="1"/>
    <col min="15876" max="15876" width="5.140625" style="452" bestFit="1" customWidth="1"/>
    <col min="15877" max="15878" width="10.7109375" style="452" customWidth="1"/>
    <col min="15879" max="15879" width="9.5703125" style="452" bestFit="1" customWidth="1"/>
    <col min="15880" max="15886" width="9.28515625" style="452" bestFit="1" customWidth="1"/>
    <col min="15887" max="15918" width="9.5703125" style="452" bestFit="1" customWidth="1"/>
    <col min="15919" max="16128" width="9.140625" style="452"/>
    <col min="16129" max="16129" width="10.140625" style="452" bestFit="1" customWidth="1"/>
    <col min="16130" max="16130" width="8.85546875" style="452" bestFit="1" customWidth="1"/>
    <col min="16131" max="16131" width="13.28515625" style="452" bestFit="1" customWidth="1"/>
    <col min="16132" max="16132" width="5.140625" style="452" bestFit="1" customWidth="1"/>
    <col min="16133" max="16134" width="10.7109375" style="452" customWidth="1"/>
    <col min="16135" max="16135" width="9.5703125" style="452" bestFit="1" customWidth="1"/>
    <col min="16136" max="16142" width="9.28515625" style="452" bestFit="1" customWidth="1"/>
    <col min="16143" max="16174" width="9.5703125" style="452" bestFit="1" customWidth="1"/>
    <col min="16175" max="16384" width="9.140625" style="452"/>
  </cols>
  <sheetData>
    <row r="3" spans="1:45 16384:16384">
      <c r="A3" s="453"/>
      <c r="B3" s="498"/>
      <c r="C3" s="501"/>
      <c r="D3" s="500" t="s">
        <v>651</v>
      </c>
      <c r="E3" s="499"/>
      <c r="F3" s="499"/>
      <c r="G3" s="498"/>
      <c r="H3" s="498"/>
      <c r="I3" s="498"/>
      <c r="J3" s="498"/>
      <c r="K3" s="498"/>
      <c r="L3" s="498"/>
      <c r="M3" s="498"/>
      <c r="N3" s="498"/>
      <c r="O3" s="498"/>
      <c r="P3" s="498"/>
      <c r="Q3" s="498"/>
      <c r="R3" s="498"/>
      <c r="S3" s="498"/>
      <c r="T3" s="498"/>
      <c r="U3" s="498"/>
      <c r="V3" s="498"/>
      <c r="W3" s="498"/>
      <c r="X3" s="498"/>
      <c r="Y3" s="498"/>
      <c r="Z3" s="498"/>
      <c r="AA3" s="498"/>
      <c r="AB3" s="498"/>
      <c r="AC3" s="498"/>
      <c r="AD3" s="498"/>
      <c r="AE3" s="498"/>
      <c r="AF3" s="498"/>
      <c r="AG3" s="498"/>
      <c r="AH3" s="498"/>
      <c r="AI3" s="498"/>
      <c r="AJ3" s="498"/>
      <c r="AK3" s="498"/>
      <c r="AL3" s="498"/>
      <c r="AM3" s="498"/>
      <c r="AN3" s="498"/>
      <c r="AO3" s="498"/>
      <c r="AP3" s="498"/>
      <c r="AQ3" s="498"/>
      <c r="AR3" s="498"/>
      <c r="AS3" s="498"/>
    </row>
    <row r="4" spans="1:45 16384:16384" ht="25.5">
      <c r="B4" s="497" t="s">
        <v>3</v>
      </c>
      <c r="C4" s="497" t="s">
        <v>242</v>
      </c>
      <c r="D4" s="497" t="s">
        <v>650</v>
      </c>
      <c r="E4" s="496">
        <v>2010</v>
      </c>
      <c r="F4" s="496">
        <v>2011</v>
      </c>
      <c r="G4" s="496">
        <v>2012</v>
      </c>
      <c r="H4" s="496">
        <v>2013</v>
      </c>
      <c r="I4" s="496">
        <v>2014</v>
      </c>
      <c r="J4" s="496">
        <v>2015</v>
      </c>
      <c r="K4" s="496">
        <v>2016</v>
      </c>
      <c r="L4" s="496">
        <v>2017</v>
      </c>
      <c r="M4" s="496">
        <v>2018</v>
      </c>
      <c r="N4" s="496">
        <v>2019</v>
      </c>
      <c r="O4" s="496">
        <v>2020</v>
      </c>
      <c r="P4" s="496">
        <v>2021</v>
      </c>
      <c r="Q4" s="496">
        <v>2022</v>
      </c>
      <c r="R4" s="496">
        <v>2023</v>
      </c>
      <c r="S4" s="496">
        <v>2024</v>
      </c>
      <c r="T4" s="496">
        <v>2025</v>
      </c>
      <c r="U4" s="496">
        <v>2026</v>
      </c>
      <c r="V4" s="496">
        <v>2027</v>
      </c>
      <c r="W4" s="496">
        <v>2028</v>
      </c>
      <c r="X4" s="496">
        <v>2029</v>
      </c>
      <c r="Y4" s="496">
        <v>2030</v>
      </c>
      <c r="Z4" s="496">
        <v>2031</v>
      </c>
      <c r="AA4" s="496">
        <v>2032</v>
      </c>
      <c r="AB4" s="496">
        <v>2033</v>
      </c>
      <c r="AC4" s="496">
        <v>2034</v>
      </c>
      <c r="AD4" s="496">
        <v>2035</v>
      </c>
      <c r="AE4" s="496">
        <v>2036</v>
      </c>
      <c r="AF4" s="496">
        <v>2037</v>
      </c>
      <c r="AG4" s="496">
        <v>2038</v>
      </c>
      <c r="AH4" s="496">
        <v>2039</v>
      </c>
      <c r="AI4" s="496">
        <v>2040</v>
      </c>
      <c r="AJ4" s="496">
        <v>2041</v>
      </c>
      <c r="AK4" s="496">
        <v>2042</v>
      </c>
      <c r="AL4" s="496">
        <v>2043</v>
      </c>
      <c r="AM4" s="496">
        <v>2044</v>
      </c>
      <c r="AN4" s="496">
        <v>2045</v>
      </c>
      <c r="AO4" s="496">
        <v>2046</v>
      </c>
      <c r="AP4" s="496">
        <v>2047</v>
      </c>
      <c r="AQ4" s="496">
        <v>2048</v>
      </c>
      <c r="AR4" s="496">
        <v>2049</v>
      </c>
      <c r="AS4" s="496">
        <v>2050</v>
      </c>
    </row>
    <row r="5" spans="1:45 16384:16384" ht="23.25" thickBot="1">
      <c r="B5" s="507" t="s">
        <v>649</v>
      </c>
      <c r="C5" s="506" t="s">
        <v>244</v>
      </c>
      <c r="D5" s="506"/>
      <c r="E5" s="505" t="s">
        <v>672</v>
      </c>
      <c r="F5" s="505" t="s">
        <v>672</v>
      </c>
      <c r="G5" s="505" t="s">
        <v>672</v>
      </c>
      <c r="H5" s="505" t="s">
        <v>672</v>
      </c>
      <c r="I5" s="505" t="s">
        <v>672</v>
      </c>
      <c r="J5" s="505" t="s">
        <v>672</v>
      </c>
      <c r="K5" s="505" t="s">
        <v>672</v>
      </c>
      <c r="L5" s="505" t="s">
        <v>672</v>
      </c>
      <c r="M5" s="505" t="s">
        <v>672</v>
      </c>
      <c r="N5" s="505" t="s">
        <v>672</v>
      </c>
      <c r="O5" s="505" t="s">
        <v>672</v>
      </c>
      <c r="P5" s="505" t="s">
        <v>672</v>
      </c>
      <c r="Q5" s="505" t="s">
        <v>672</v>
      </c>
      <c r="R5" s="505" t="s">
        <v>672</v>
      </c>
      <c r="S5" s="505" t="s">
        <v>672</v>
      </c>
      <c r="T5" s="505" t="s">
        <v>672</v>
      </c>
      <c r="U5" s="505" t="s">
        <v>672</v>
      </c>
      <c r="V5" s="505" t="s">
        <v>672</v>
      </c>
      <c r="W5" s="505" t="s">
        <v>672</v>
      </c>
      <c r="X5" s="505" t="s">
        <v>672</v>
      </c>
      <c r="Y5" s="505" t="s">
        <v>672</v>
      </c>
      <c r="Z5" s="505" t="s">
        <v>672</v>
      </c>
      <c r="AA5" s="505" t="s">
        <v>672</v>
      </c>
      <c r="AB5" s="505" t="s">
        <v>672</v>
      </c>
      <c r="AC5" s="505" t="s">
        <v>672</v>
      </c>
      <c r="AD5" s="505" t="s">
        <v>672</v>
      </c>
      <c r="AE5" s="505" t="s">
        <v>672</v>
      </c>
      <c r="AF5" s="505" t="s">
        <v>672</v>
      </c>
      <c r="AG5" s="505" t="s">
        <v>672</v>
      </c>
      <c r="AH5" s="505" t="s">
        <v>672</v>
      </c>
      <c r="AI5" s="505" t="s">
        <v>672</v>
      </c>
      <c r="AJ5" s="505" t="s">
        <v>672</v>
      </c>
      <c r="AK5" s="505" t="s">
        <v>672</v>
      </c>
      <c r="AL5" s="505" t="s">
        <v>672</v>
      </c>
      <c r="AM5" s="505" t="s">
        <v>672</v>
      </c>
      <c r="AN5" s="505" t="s">
        <v>672</v>
      </c>
      <c r="AO5" s="505" t="s">
        <v>672</v>
      </c>
      <c r="AP5" s="505" t="s">
        <v>672</v>
      </c>
      <c r="AQ5" s="505" t="s">
        <v>672</v>
      </c>
      <c r="AR5" s="505" t="s">
        <v>672</v>
      </c>
      <c r="AS5" s="505" t="s">
        <v>672</v>
      </c>
    </row>
    <row r="6" spans="1:45 16384:16384">
      <c r="B6" s="502" t="s">
        <v>412</v>
      </c>
      <c r="C6" s="504" t="s">
        <v>243</v>
      </c>
      <c r="D6" s="502" t="s">
        <v>648</v>
      </c>
      <c r="E6" s="503">
        <f>E11/1000</f>
        <v>0.12188031054345412</v>
      </c>
      <c r="F6" s="503">
        <f t="shared" ref="F6:AS6" si="0">F11/1000</f>
        <v>0.11124725539371799</v>
      </c>
      <c r="G6" s="503">
        <f t="shared" si="0"/>
        <v>6.1155678910855465E-2</v>
      </c>
      <c r="H6" s="503">
        <f t="shared" si="0"/>
        <v>3.50019029E-2</v>
      </c>
      <c r="I6" s="503">
        <f t="shared" si="0"/>
        <v>4.6969232750000006E-2</v>
      </c>
      <c r="J6" s="503">
        <f t="shared" si="0"/>
        <v>6.0492733500000007E-2</v>
      </c>
      <c r="K6" s="503">
        <f t="shared" si="0"/>
        <v>4.1585929800000004E-2</v>
      </c>
      <c r="L6" s="503">
        <f t="shared" si="0"/>
        <v>4.4920616850000004E-2</v>
      </c>
      <c r="M6" s="503">
        <f t="shared" si="0"/>
        <v>0.11947093414999999</v>
      </c>
      <c r="N6" s="503">
        <f t="shared" si="0"/>
        <v>0.18580684419999999</v>
      </c>
      <c r="O6" s="503">
        <f t="shared" si="0"/>
        <v>0.18407655935</v>
      </c>
      <c r="P6" s="503">
        <f t="shared" si="0"/>
        <v>0.25335268764166669</v>
      </c>
      <c r="Q6" s="503">
        <f t="shared" si="0"/>
        <v>0.26104561599999998</v>
      </c>
      <c r="R6" s="503">
        <f t="shared" si="0"/>
        <v>0.26897219249999998</v>
      </c>
      <c r="S6" s="503">
        <f t="shared" si="0"/>
        <v>0.27713940400000003</v>
      </c>
      <c r="T6" s="503">
        <f t="shared" si="0"/>
        <v>0.28555462599999998</v>
      </c>
      <c r="U6" s="503">
        <f t="shared" si="0"/>
        <v>0.29422538300000001</v>
      </c>
      <c r="V6" s="503">
        <f t="shared" si="0"/>
        <v>0.30315934849999998</v>
      </c>
      <c r="W6" s="503">
        <f t="shared" si="0"/>
        <v>0.31236471750000006</v>
      </c>
      <c r="X6" s="503">
        <f t="shared" si="0"/>
        <v>0.32184953599999999</v>
      </c>
      <c r="Y6" s="503">
        <f t="shared" si="0"/>
        <v>0.33162229700000001</v>
      </c>
      <c r="Z6" s="503">
        <f t="shared" si="0"/>
        <v>0.3394492579358333</v>
      </c>
      <c r="AA6" s="503">
        <f t="shared" si="0"/>
        <v>0.34727621887166671</v>
      </c>
      <c r="AB6" s="503">
        <f t="shared" si="0"/>
        <v>0.3551031798075</v>
      </c>
      <c r="AC6" s="503">
        <f t="shared" si="0"/>
        <v>0.3629301407433333</v>
      </c>
      <c r="AD6" s="503">
        <f t="shared" si="0"/>
        <v>0.3707571016791667</v>
      </c>
      <c r="AE6" s="503">
        <f t="shared" si="0"/>
        <v>0.37858406261499999</v>
      </c>
      <c r="AF6" s="503">
        <f t="shared" si="0"/>
        <v>0.38641102355083329</v>
      </c>
      <c r="AG6" s="503">
        <f t="shared" si="0"/>
        <v>0.39423798448666669</v>
      </c>
      <c r="AH6" s="503">
        <f t="shared" si="0"/>
        <v>0.40206494542249999</v>
      </c>
      <c r="AI6" s="503">
        <f t="shared" si="0"/>
        <v>0.40989190635833334</v>
      </c>
      <c r="AJ6" s="503">
        <f t="shared" si="0"/>
        <v>0.41771886729416668</v>
      </c>
      <c r="AK6" s="503">
        <f t="shared" si="0"/>
        <v>0.42554582822999998</v>
      </c>
      <c r="AL6" s="503">
        <f t="shared" si="0"/>
        <v>0.43337278916583327</v>
      </c>
      <c r="AM6" s="503">
        <f t="shared" si="0"/>
        <v>0.44119975010166668</v>
      </c>
      <c r="AN6" s="503">
        <f t="shared" si="0"/>
        <v>0.44902671103749997</v>
      </c>
      <c r="AO6" s="503">
        <f t="shared" si="0"/>
        <v>0.45685367197333338</v>
      </c>
      <c r="AP6" s="503">
        <f t="shared" si="0"/>
        <v>0.46468063290916667</v>
      </c>
      <c r="AQ6" s="503">
        <f t="shared" si="0"/>
        <v>0.47250759384499996</v>
      </c>
      <c r="AR6" s="503">
        <f t="shared" si="0"/>
        <v>0.48033455478083331</v>
      </c>
      <c r="AS6" s="503">
        <f t="shared" si="0"/>
        <v>0.48816151571666666</v>
      </c>
    </row>
    <row r="7" spans="1:45 16384:16384">
      <c r="B7" s="502" t="s">
        <v>410</v>
      </c>
      <c r="C7" s="504" t="s">
        <v>243</v>
      </c>
      <c r="D7" s="502" t="s">
        <v>648</v>
      </c>
      <c r="E7" s="503">
        <f>E24/1000</f>
        <v>0.16369999999999998</v>
      </c>
      <c r="F7" s="503">
        <f t="shared" ref="F7:AS7" si="1">F24/1000</f>
        <v>0.16569999999999999</v>
      </c>
      <c r="G7" s="503">
        <f t="shared" si="1"/>
        <v>0.1648</v>
      </c>
      <c r="H7" s="503">
        <f t="shared" si="1"/>
        <v>0.16500000000000001</v>
      </c>
      <c r="I7" s="503">
        <f t="shared" si="1"/>
        <v>0.16689999999999999</v>
      </c>
      <c r="J7" s="503">
        <f t="shared" si="1"/>
        <v>0.16819999999999999</v>
      </c>
      <c r="K7" s="503">
        <f t="shared" si="1"/>
        <v>0.1677346232179226</v>
      </c>
      <c r="L7" s="503">
        <f t="shared" si="1"/>
        <v>0.1677346232179226</v>
      </c>
      <c r="M7" s="503">
        <f t="shared" si="1"/>
        <v>0.1677346232179226</v>
      </c>
      <c r="N7" s="503">
        <f t="shared" si="1"/>
        <v>0.18580684419999999</v>
      </c>
      <c r="O7" s="503">
        <f t="shared" si="1"/>
        <v>0.18407655935</v>
      </c>
      <c r="P7" s="503">
        <f t="shared" si="1"/>
        <v>0.25335268764166669</v>
      </c>
      <c r="Q7" s="503">
        <f t="shared" si="1"/>
        <v>0.26104561599999998</v>
      </c>
      <c r="R7" s="503">
        <f t="shared" si="1"/>
        <v>0.26897219249999998</v>
      </c>
      <c r="S7" s="503">
        <f t="shared" si="1"/>
        <v>0.27713940400000003</v>
      </c>
      <c r="T7" s="503">
        <f t="shared" si="1"/>
        <v>0.28555462599999998</v>
      </c>
      <c r="U7" s="503">
        <f t="shared" si="1"/>
        <v>0.29422538300000001</v>
      </c>
      <c r="V7" s="503">
        <f t="shared" si="1"/>
        <v>0.30315934849999998</v>
      </c>
      <c r="W7" s="503">
        <f t="shared" si="1"/>
        <v>0.31236471750000006</v>
      </c>
      <c r="X7" s="503">
        <f t="shared" si="1"/>
        <v>0.32184953599999999</v>
      </c>
      <c r="Y7" s="503">
        <f t="shared" si="1"/>
        <v>0.33162229700000001</v>
      </c>
      <c r="Z7" s="503">
        <f t="shared" si="1"/>
        <v>0.3394492579358333</v>
      </c>
      <c r="AA7" s="503">
        <f t="shared" si="1"/>
        <v>0.34727621887166671</v>
      </c>
      <c r="AB7" s="503">
        <f t="shared" si="1"/>
        <v>0.3551031798075</v>
      </c>
      <c r="AC7" s="503">
        <f t="shared" si="1"/>
        <v>0.3629301407433333</v>
      </c>
      <c r="AD7" s="503">
        <f t="shared" si="1"/>
        <v>0.3707571016791667</v>
      </c>
      <c r="AE7" s="503">
        <f t="shared" si="1"/>
        <v>0.37858406261499999</v>
      </c>
      <c r="AF7" s="503">
        <f t="shared" si="1"/>
        <v>0.38641102355083329</v>
      </c>
      <c r="AG7" s="503">
        <f t="shared" si="1"/>
        <v>0.39423798448666669</v>
      </c>
      <c r="AH7" s="503">
        <f t="shared" si="1"/>
        <v>0.40206494542249999</v>
      </c>
      <c r="AI7" s="503">
        <f t="shared" si="1"/>
        <v>0.40989190635833334</v>
      </c>
      <c r="AJ7" s="503">
        <f t="shared" si="1"/>
        <v>0.41771886729416668</v>
      </c>
      <c r="AK7" s="503">
        <f t="shared" si="1"/>
        <v>0.42554582822999998</v>
      </c>
      <c r="AL7" s="503">
        <f t="shared" si="1"/>
        <v>0.43337278916583327</v>
      </c>
      <c r="AM7" s="503">
        <f t="shared" si="1"/>
        <v>0.44119975010166668</v>
      </c>
      <c r="AN7" s="503">
        <f t="shared" si="1"/>
        <v>0.44902671103749997</v>
      </c>
      <c r="AO7" s="503">
        <f t="shared" si="1"/>
        <v>0.45685367197333338</v>
      </c>
      <c r="AP7" s="503">
        <f t="shared" si="1"/>
        <v>0.46468063290916667</v>
      </c>
      <c r="AQ7" s="503">
        <f t="shared" si="1"/>
        <v>0.47250759384499996</v>
      </c>
      <c r="AR7" s="503">
        <f t="shared" si="1"/>
        <v>0.48033455478083331</v>
      </c>
      <c r="AS7" s="503">
        <f t="shared" si="1"/>
        <v>0.48816151571666666</v>
      </c>
    </row>
    <row r="8" spans="1:45 16384:16384">
      <c r="B8" s="490"/>
      <c r="C8" s="490"/>
      <c r="D8" s="490"/>
      <c r="E8" s="490"/>
      <c r="F8" s="490"/>
      <c r="G8" s="490"/>
      <c r="H8" s="490"/>
      <c r="I8" s="490"/>
      <c r="J8" s="490"/>
      <c r="K8" s="490"/>
      <c r="L8" s="490"/>
      <c r="M8" s="490"/>
      <c r="N8" s="490"/>
      <c r="O8" s="490"/>
      <c r="P8" s="490"/>
      <c r="Q8" s="490"/>
      <c r="R8" s="490"/>
      <c r="S8" s="490"/>
      <c r="T8" s="490"/>
      <c r="U8" s="490"/>
      <c r="V8" s="490"/>
      <c r="W8" s="490"/>
      <c r="X8" s="490"/>
      <c r="Y8" s="490"/>
      <c r="Z8" s="490"/>
      <c r="AA8" s="490"/>
      <c r="AB8" s="490"/>
      <c r="AC8" s="490"/>
      <c r="AD8" s="490"/>
      <c r="AE8" s="490"/>
      <c r="AF8" s="490"/>
      <c r="AG8" s="490"/>
      <c r="AH8" s="490"/>
      <c r="AI8" s="490"/>
      <c r="AJ8" s="490"/>
      <c r="AK8" s="490"/>
      <c r="AL8" s="490"/>
      <c r="AM8" s="490"/>
      <c r="AN8" s="490"/>
      <c r="AO8" s="490"/>
      <c r="AP8" s="490"/>
      <c r="AQ8" s="490"/>
      <c r="AR8" s="490"/>
      <c r="AS8" s="490"/>
    </row>
    <row r="9" spans="1:45 16384:16384" ht="15.75" thickBot="1">
      <c r="B9" s="490"/>
      <c r="C9" s="490"/>
      <c r="D9" s="490"/>
      <c r="E9" s="490"/>
      <c r="F9" s="490"/>
      <c r="G9" s="490"/>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row>
    <row r="10" spans="1:45 16384:16384">
      <c r="B10" s="586" t="s">
        <v>693</v>
      </c>
      <c r="C10" s="587"/>
      <c r="D10" s="588"/>
      <c r="E10" s="589">
        <v>2010</v>
      </c>
      <c r="F10" s="589">
        <v>2011</v>
      </c>
      <c r="G10" s="589">
        <v>2012</v>
      </c>
      <c r="H10" s="589">
        <v>2013</v>
      </c>
      <c r="I10" s="589">
        <v>2014</v>
      </c>
      <c r="J10" s="589">
        <v>2015</v>
      </c>
      <c r="K10" s="589">
        <v>2016</v>
      </c>
      <c r="L10" s="589">
        <v>2017</v>
      </c>
      <c r="M10" s="589">
        <v>2018</v>
      </c>
      <c r="N10" s="589">
        <v>2019</v>
      </c>
      <c r="O10" s="589">
        <v>2020</v>
      </c>
      <c r="P10" s="589">
        <v>2021</v>
      </c>
      <c r="Q10" s="589">
        <v>2022</v>
      </c>
      <c r="R10" s="589">
        <v>2023</v>
      </c>
      <c r="S10" s="589">
        <v>2024</v>
      </c>
      <c r="T10" s="589">
        <v>2025</v>
      </c>
      <c r="U10" s="589">
        <v>2026</v>
      </c>
      <c r="V10" s="589">
        <v>2027</v>
      </c>
      <c r="W10" s="589">
        <v>2028</v>
      </c>
      <c r="X10" s="589">
        <v>2029</v>
      </c>
      <c r="Y10" s="589">
        <v>2030</v>
      </c>
      <c r="Z10" s="589">
        <v>2031</v>
      </c>
      <c r="AA10" s="589">
        <v>2032</v>
      </c>
      <c r="AB10" s="589">
        <v>2033</v>
      </c>
      <c r="AC10" s="589">
        <v>2034</v>
      </c>
      <c r="AD10" s="589">
        <v>2035</v>
      </c>
      <c r="AE10" s="589">
        <v>2036</v>
      </c>
      <c r="AF10" s="589">
        <v>2037</v>
      </c>
      <c r="AG10" s="589">
        <v>2038</v>
      </c>
      <c r="AH10" s="589">
        <v>2039</v>
      </c>
      <c r="AI10" s="589">
        <v>2040</v>
      </c>
      <c r="AJ10" s="589">
        <v>2041</v>
      </c>
      <c r="AK10" s="589">
        <v>2042</v>
      </c>
      <c r="AL10" s="589">
        <v>2043</v>
      </c>
      <c r="AM10" s="589">
        <v>2044</v>
      </c>
      <c r="AN10" s="589">
        <v>2045</v>
      </c>
      <c r="AO10" s="589">
        <v>2046</v>
      </c>
      <c r="AP10" s="589">
        <v>2047</v>
      </c>
      <c r="AQ10" s="589">
        <v>2048</v>
      </c>
      <c r="AR10" s="589">
        <v>2049</v>
      </c>
      <c r="AS10" s="590">
        <v>2050</v>
      </c>
    </row>
    <row r="11" spans="1:45 16384:16384">
      <c r="B11" s="591" t="s">
        <v>694</v>
      </c>
      <c r="C11" s="592"/>
      <c r="D11" s="592"/>
      <c r="E11" s="592">
        <f t="shared" ref="E11:O11" si="2">VLOOKUP(E10,$D$40:$G$60,4)</f>
        <v>121.88031054345412</v>
      </c>
      <c r="F11" s="592">
        <f t="shared" si="2"/>
        <v>111.24725539371799</v>
      </c>
      <c r="G11" s="592">
        <f t="shared" si="2"/>
        <v>61.155678910855464</v>
      </c>
      <c r="H11" s="592">
        <f t="shared" si="2"/>
        <v>35.001902899999997</v>
      </c>
      <c r="I11" s="592">
        <f t="shared" si="2"/>
        <v>46.969232750000003</v>
      </c>
      <c r="J11" s="592">
        <f t="shared" si="2"/>
        <v>60.492733500000007</v>
      </c>
      <c r="K11" s="592">
        <f t="shared" si="2"/>
        <v>41.585929800000002</v>
      </c>
      <c r="L11" s="592">
        <f t="shared" si="2"/>
        <v>44.920616850000002</v>
      </c>
      <c r="M11" s="592">
        <f t="shared" si="2"/>
        <v>119.47093414999999</v>
      </c>
      <c r="N11" s="592">
        <f t="shared" si="2"/>
        <v>185.8068442</v>
      </c>
      <c r="O11" s="592">
        <f t="shared" si="2"/>
        <v>184.07655935</v>
      </c>
      <c r="P11" s="593">
        <f t="shared" ref="P11:Y11" si="3">VLOOKUP(P10,$D$40:$G$60,2)</f>
        <v>253.35268764166668</v>
      </c>
      <c r="Q11" s="593">
        <f t="shared" si="3"/>
        <v>261.045616</v>
      </c>
      <c r="R11" s="593">
        <f t="shared" si="3"/>
        <v>268.97219250000001</v>
      </c>
      <c r="S11" s="593">
        <f t="shared" si="3"/>
        <v>277.13940400000001</v>
      </c>
      <c r="T11" s="593">
        <f t="shared" si="3"/>
        <v>285.55462599999998</v>
      </c>
      <c r="U11" s="593">
        <f t="shared" si="3"/>
        <v>294.22538300000002</v>
      </c>
      <c r="V11" s="593">
        <f t="shared" si="3"/>
        <v>303.15934849999996</v>
      </c>
      <c r="W11" s="593">
        <f t="shared" si="3"/>
        <v>312.36471750000004</v>
      </c>
      <c r="X11" s="593">
        <f t="shared" si="3"/>
        <v>321.849536</v>
      </c>
      <c r="Y11" s="593">
        <f t="shared" si="3"/>
        <v>331.622297</v>
      </c>
      <c r="Z11" s="593">
        <f>($Y$11-$P$11)/10*(Z10-$Y$10)+$Y$11</f>
        <v>339.44925793583332</v>
      </c>
      <c r="AA11" s="593">
        <f t="shared" ref="AA11:AS11" si="4">($Y$11-$P$11)/10*(AA10-$Y$10)+$Y$11</f>
        <v>347.27621887166669</v>
      </c>
      <c r="AB11" s="593">
        <f t="shared" si="4"/>
        <v>355.1031798075</v>
      </c>
      <c r="AC11" s="593">
        <f t="shared" si="4"/>
        <v>362.93014074333331</v>
      </c>
      <c r="AD11" s="593">
        <f t="shared" si="4"/>
        <v>370.75710167916668</v>
      </c>
      <c r="AE11" s="593">
        <f t="shared" si="4"/>
        <v>378.58406261499999</v>
      </c>
      <c r="AF11" s="593">
        <f t="shared" si="4"/>
        <v>386.41102355083331</v>
      </c>
      <c r="AG11" s="593">
        <f t="shared" si="4"/>
        <v>394.23798448666668</v>
      </c>
      <c r="AH11" s="593">
        <f t="shared" si="4"/>
        <v>402.06494542249999</v>
      </c>
      <c r="AI11" s="593">
        <f t="shared" si="4"/>
        <v>409.89190635833336</v>
      </c>
      <c r="AJ11" s="593">
        <f t="shared" si="4"/>
        <v>417.71886729416667</v>
      </c>
      <c r="AK11" s="593">
        <f t="shared" si="4"/>
        <v>425.54582822999998</v>
      </c>
      <c r="AL11" s="593">
        <f t="shared" si="4"/>
        <v>433.3727891658333</v>
      </c>
      <c r="AM11" s="593">
        <f t="shared" si="4"/>
        <v>441.19975010166667</v>
      </c>
      <c r="AN11" s="593">
        <f t="shared" si="4"/>
        <v>449.02671103749998</v>
      </c>
      <c r="AO11" s="593">
        <f t="shared" si="4"/>
        <v>456.85367197333335</v>
      </c>
      <c r="AP11" s="593">
        <f t="shared" si="4"/>
        <v>464.68063290916666</v>
      </c>
      <c r="AQ11" s="593">
        <f t="shared" si="4"/>
        <v>472.50759384499997</v>
      </c>
      <c r="AR11" s="593">
        <f t="shared" si="4"/>
        <v>480.33455478083329</v>
      </c>
      <c r="AS11" s="593">
        <f t="shared" si="4"/>
        <v>488.16151571666666</v>
      </c>
      <c r="XFD11" s="593"/>
    </row>
    <row r="12" spans="1:45 16384:16384">
      <c r="B12" s="594" t="s">
        <v>801</v>
      </c>
      <c r="C12" s="595"/>
      <c r="D12" s="595"/>
      <c r="E12" s="595"/>
      <c r="F12" s="595"/>
      <c r="G12" s="595"/>
      <c r="H12" s="595"/>
      <c r="I12" s="595"/>
      <c r="J12" s="595"/>
      <c r="K12" s="595"/>
      <c r="L12" s="595"/>
      <c r="M12" s="595"/>
      <c r="N12" s="595"/>
      <c r="O12" s="595"/>
      <c r="P12" s="595"/>
      <c r="Q12" s="595"/>
      <c r="R12" s="595"/>
      <c r="S12" s="595"/>
      <c r="T12" s="595"/>
      <c r="U12" s="595"/>
      <c r="V12" s="595"/>
      <c r="W12" s="595"/>
      <c r="X12" s="595"/>
      <c r="Y12" s="595"/>
      <c r="Z12" s="595"/>
      <c r="AA12" s="595"/>
      <c r="AB12" s="595"/>
      <c r="AC12" s="595"/>
      <c r="AD12" s="595"/>
      <c r="AE12" s="595"/>
      <c r="AF12" s="595"/>
      <c r="AG12" s="595"/>
      <c r="AH12" s="595"/>
      <c r="AI12" s="595"/>
      <c r="AJ12" s="595"/>
      <c r="AK12" s="595"/>
      <c r="AL12" s="595"/>
      <c r="AM12" s="595"/>
      <c r="AN12" s="595"/>
      <c r="AO12" s="595"/>
      <c r="AP12" s="595"/>
      <c r="AQ12" s="595"/>
      <c r="AR12" s="595"/>
      <c r="AS12" s="595"/>
    </row>
    <row r="13" spans="1:45 16384:16384">
      <c r="B13" s="596" t="s">
        <v>802</v>
      </c>
      <c r="C13" s="595"/>
      <c r="D13" s="595"/>
      <c r="E13" s="595"/>
      <c r="F13" s="595"/>
      <c r="G13" s="595"/>
      <c r="H13" s="595"/>
      <c r="I13" s="595"/>
      <c r="J13" s="595"/>
      <c r="K13" s="595"/>
      <c r="L13" s="595"/>
      <c r="M13" s="595"/>
      <c r="N13" s="595"/>
      <c r="O13" s="597"/>
      <c r="P13" s="595"/>
      <c r="Q13" s="595"/>
      <c r="R13" s="595"/>
      <c r="S13" s="595"/>
      <c r="T13" s="595"/>
      <c r="U13" s="595"/>
      <c r="V13" s="595"/>
      <c r="W13" s="595"/>
      <c r="X13" s="595"/>
      <c r="Y13" s="595"/>
      <c r="Z13" s="595"/>
      <c r="AA13" s="595"/>
      <c r="AB13" s="595"/>
      <c r="AC13" s="595"/>
      <c r="AD13" s="595"/>
      <c r="AE13" s="595"/>
      <c r="AF13" s="595"/>
      <c r="AG13" s="595"/>
      <c r="AH13" s="595"/>
      <c r="AI13" s="595"/>
      <c r="AJ13" s="595"/>
      <c r="AK13" s="595"/>
      <c r="AL13" s="595"/>
      <c r="AM13" s="595"/>
      <c r="AN13" s="595"/>
      <c r="AO13" s="595"/>
      <c r="AP13" s="595"/>
      <c r="AQ13" s="595"/>
      <c r="AR13" s="595"/>
      <c r="AS13" s="595"/>
    </row>
    <row r="14" spans="1:45 16384:16384">
      <c r="B14" s="596"/>
      <c r="C14" s="595"/>
      <c r="D14" s="595"/>
      <c r="E14" s="595"/>
      <c r="F14" s="595"/>
      <c r="G14" s="595"/>
      <c r="H14" s="595"/>
      <c r="I14" s="595"/>
      <c r="J14" s="595"/>
      <c r="K14" s="595"/>
      <c r="L14" s="595"/>
      <c r="M14" s="595"/>
      <c r="N14" s="595"/>
      <c r="O14" s="595"/>
      <c r="P14" s="595"/>
      <c r="Q14" s="595"/>
      <c r="R14" s="595"/>
      <c r="S14" s="595"/>
      <c r="T14" s="595"/>
      <c r="U14" s="595"/>
      <c r="V14" s="595"/>
      <c r="W14" s="595"/>
      <c r="X14" s="595"/>
      <c r="Y14" s="595"/>
      <c r="Z14" s="595"/>
      <c r="AA14" s="595"/>
      <c r="AB14" s="595"/>
      <c r="AC14" s="595"/>
      <c r="AD14" s="595"/>
      <c r="AE14" s="595"/>
      <c r="AF14" s="595"/>
      <c r="AG14" s="595"/>
      <c r="AH14" s="595"/>
      <c r="AI14" s="595"/>
      <c r="AJ14" s="595"/>
      <c r="AK14" s="595"/>
      <c r="AL14" s="595"/>
      <c r="AM14" s="595"/>
      <c r="AN14" s="595"/>
      <c r="AO14" s="595"/>
      <c r="AP14" s="595"/>
      <c r="AQ14" s="595"/>
      <c r="AR14" s="595"/>
      <c r="AS14" s="598"/>
    </row>
    <row r="15" spans="1:45 16384:16384" ht="15.75" thickBot="1">
      <c r="B15" s="599"/>
      <c r="C15" s="600"/>
      <c r="D15" s="600"/>
      <c r="E15" s="600"/>
      <c r="F15" s="600"/>
      <c r="G15" s="600"/>
      <c r="H15" s="600"/>
      <c r="I15" s="600"/>
      <c r="J15" s="600"/>
      <c r="K15" s="600"/>
      <c r="L15" s="600"/>
      <c r="M15" s="600"/>
      <c r="N15" s="600"/>
      <c r="O15" s="600"/>
      <c r="P15" s="600"/>
      <c r="Q15" s="600"/>
      <c r="R15" s="600"/>
      <c r="S15" s="600"/>
      <c r="T15" s="600"/>
      <c r="U15" s="600"/>
      <c r="V15" s="600"/>
      <c r="W15" s="600"/>
      <c r="X15" s="600"/>
      <c r="Y15" s="600"/>
      <c r="Z15" s="600"/>
      <c r="AA15" s="600"/>
      <c r="AB15" s="600"/>
      <c r="AC15" s="600"/>
      <c r="AD15" s="600"/>
      <c r="AE15" s="600"/>
      <c r="AF15" s="600"/>
      <c r="AG15" s="600"/>
      <c r="AH15" s="600"/>
      <c r="AI15" s="600"/>
      <c r="AJ15" s="600"/>
      <c r="AK15" s="600"/>
      <c r="AL15" s="600"/>
      <c r="AM15" s="600"/>
      <c r="AN15" s="600"/>
      <c r="AO15" s="600"/>
      <c r="AP15" s="600"/>
      <c r="AQ15" s="600"/>
      <c r="AR15" s="600"/>
      <c r="AS15" s="601"/>
    </row>
    <row r="16" spans="1:45 16384:16384" ht="15.75" thickBot="1">
      <c r="B16" s="490"/>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row>
    <row r="17" spans="2:45">
      <c r="B17" s="521" t="s">
        <v>695</v>
      </c>
      <c r="C17" s="509" t="s">
        <v>696</v>
      </c>
      <c r="D17" s="509"/>
      <c r="E17" s="509"/>
      <c r="F17" s="509"/>
      <c r="G17" s="520"/>
      <c r="H17" s="520"/>
      <c r="I17" s="520"/>
      <c r="J17" s="520"/>
      <c r="K17" s="520"/>
      <c r="L17" s="520"/>
      <c r="M17" s="520"/>
      <c r="N17" s="520"/>
      <c r="O17" s="520"/>
      <c r="P17" s="520"/>
      <c r="Q17" s="520"/>
      <c r="R17" s="520"/>
      <c r="S17" s="520"/>
      <c r="T17" s="520"/>
      <c r="U17" s="520"/>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19"/>
      <c r="AS17" s="495"/>
    </row>
    <row r="18" spans="2:45">
      <c r="B18" s="518" t="s">
        <v>697</v>
      </c>
      <c r="C18" s="524" t="s">
        <v>698</v>
      </c>
      <c r="D18" s="524"/>
      <c r="E18" s="524"/>
      <c r="F18" s="524"/>
      <c r="G18" s="517"/>
      <c r="H18" s="517"/>
      <c r="I18" s="517"/>
      <c r="J18" s="517"/>
      <c r="K18" s="517"/>
      <c r="L18" s="517"/>
      <c r="M18" s="517"/>
      <c r="N18" s="517"/>
      <c r="O18" s="517"/>
      <c r="P18" s="517"/>
      <c r="Q18" s="517"/>
      <c r="R18" s="517"/>
      <c r="S18" s="517"/>
      <c r="T18" s="517"/>
      <c r="U18" s="517"/>
      <c r="V18" s="517"/>
      <c r="W18" s="517"/>
      <c r="X18" s="517"/>
      <c r="Y18" s="517"/>
      <c r="Z18" s="517"/>
      <c r="AA18" s="517"/>
      <c r="AB18" s="517"/>
      <c r="AC18" s="517"/>
      <c r="AD18" s="517"/>
      <c r="AE18" s="517"/>
      <c r="AF18" s="517"/>
      <c r="AG18" s="517"/>
      <c r="AH18" s="517"/>
      <c r="AI18" s="517"/>
      <c r="AJ18" s="517"/>
      <c r="AK18" s="517"/>
      <c r="AL18" s="517"/>
      <c r="AM18" s="517"/>
      <c r="AN18" s="517"/>
      <c r="AO18" s="517"/>
      <c r="AP18" s="517"/>
      <c r="AQ18" s="517"/>
      <c r="AR18" s="508"/>
      <c r="AS18" s="494"/>
    </row>
    <row r="19" spans="2:45">
      <c r="B19" s="518" t="s">
        <v>699</v>
      </c>
      <c r="C19" s="524" t="s">
        <v>700</v>
      </c>
      <c r="D19" s="524"/>
      <c r="E19" s="524"/>
      <c r="F19" s="524"/>
      <c r="G19" s="517"/>
      <c r="H19" s="517"/>
      <c r="I19" s="517"/>
      <c r="J19" s="517"/>
      <c r="K19" s="517"/>
      <c r="L19" s="517"/>
      <c r="M19" s="517"/>
      <c r="N19" s="517"/>
      <c r="O19" s="517"/>
      <c r="P19" s="517"/>
      <c r="Q19" s="517"/>
      <c r="R19" s="517"/>
      <c r="S19" s="517"/>
      <c r="T19" s="517"/>
      <c r="U19" s="517"/>
      <c r="V19" s="517"/>
      <c r="W19" s="517"/>
      <c r="X19" s="517"/>
      <c r="Y19" s="517"/>
      <c r="Z19" s="517"/>
      <c r="AA19" s="517"/>
      <c r="AB19" s="517"/>
      <c r="AC19" s="517"/>
      <c r="AD19" s="517"/>
      <c r="AE19" s="517"/>
      <c r="AF19" s="517"/>
      <c r="AG19" s="517"/>
      <c r="AH19" s="517"/>
      <c r="AI19" s="517"/>
      <c r="AJ19" s="517"/>
      <c r="AK19" s="517"/>
      <c r="AL19" s="517"/>
      <c r="AM19" s="517"/>
      <c r="AN19" s="517"/>
      <c r="AO19" s="517"/>
      <c r="AP19" s="517"/>
      <c r="AQ19" s="517"/>
      <c r="AR19" s="508"/>
      <c r="AS19" s="494"/>
    </row>
    <row r="20" spans="2:45">
      <c r="B20" s="518" t="s">
        <v>701</v>
      </c>
      <c r="C20" s="524" t="s">
        <v>702</v>
      </c>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7"/>
      <c r="AK20" s="517"/>
      <c r="AL20" s="517"/>
      <c r="AM20" s="517"/>
      <c r="AN20" s="517"/>
      <c r="AO20" s="517"/>
      <c r="AP20" s="517"/>
      <c r="AQ20" s="517"/>
      <c r="AR20" s="508"/>
      <c r="AS20" s="494"/>
    </row>
    <row r="21" spans="2:45">
      <c r="B21" s="518" t="s">
        <v>703</v>
      </c>
      <c r="C21" s="516">
        <v>42430</v>
      </c>
      <c r="D21" s="524"/>
      <c r="E21" s="524"/>
      <c r="F21" s="524"/>
      <c r="G21" s="517"/>
      <c r="H21" s="517"/>
      <c r="I21" s="517"/>
      <c r="J21" s="517"/>
      <c r="K21" s="517"/>
      <c r="L21" s="517"/>
      <c r="M21" s="517"/>
      <c r="N21" s="517"/>
      <c r="O21" s="517"/>
      <c r="P21" s="517"/>
      <c r="Q21" s="517"/>
      <c r="R21" s="517"/>
      <c r="S21" s="517"/>
      <c r="T21" s="517"/>
      <c r="U21" s="517"/>
      <c r="V21" s="517"/>
      <c r="W21" s="517"/>
      <c r="X21" s="517"/>
      <c r="Y21" s="517"/>
      <c r="Z21" s="517"/>
      <c r="AA21" s="517"/>
      <c r="AB21" s="517"/>
      <c r="AC21" s="517"/>
      <c r="AD21" s="517"/>
      <c r="AE21" s="517"/>
      <c r="AF21" s="517"/>
      <c r="AG21" s="517"/>
      <c r="AH21" s="517"/>
      <c r="AI21" s="517"/>
      <c r="AJ21" s="517"/>
      <c r="AK21" s="517"/>
      <c r="AL21" s="517"/>
      <c r="AM21" s="517"/>
      <c r="AN21" s="517"/>
      <c r="AO21" s="517"/>
      <c r="AP21" s="517"/>
      <c r="AQ21" s="517"/>
      <c r="AR21" s="517"/>
      <c r="AS21" s="515"/>
    </row>
    <row r="22" spans="2:45">
      <c r="B22" s="518" t="s">
        <v>704</v>
      </c>
      <c r="C22" s="516" t="s">
        <v>705</v>
      </c>
      <c r="D22" s="517"/>
      <c r="E22" s="517"/>
      <c r="F22" s="517"/>
      <c r="G22" s="517"/>
      <c r="H22" s="517"/>
      <c r="I22" s="517"/>
      <c r="J22" s="517"/>
      <c r="K22" s="517"/>
      <c r="L22" s="517"/>
      <c r="M22" s="517"/>
      <c r="N22" s="517"/>
      <c r="O22" s="517"/>
      <c r="P22" s="517"/>
      <c r="Q22" s="517"/>
      <c r="R22" s="517"/>
      <c r="S22" s="517"/>
      <c r="T22" s="517"/>
      <c r="U22" s="517"/>
      <c r="V22" s="517"/>
      <c r="W22" s="517"/>
      <c r="X22" s="517"/>
      <c r="Y22" s="517"/>
      <c r="Z22" s="517"/>
      <c r="AA22" s="517"/>
      <c r="AB22" s="517"/>
      <c r="AC22" s="517"/>
      <c r="AD22" s="517"/>
      <c r="AE22" s="517"/>
      <c r="AF22" s="517"/>
      <c r="AG22" s="517"/>
      <c r="AH22" s="517"/>
      <c r="AI22" s="517"/>
      <c r="AJ22" s="517"/>
      <c r="AK22" s="517"/>
      <c r="AL22" s="517"/>
      <c r="AM22" s="517"/>
      <c r="AN22" s="517"/>
      <c r="AO22" s="517"/>
      <c r="AP22" s="517"/>
      <c r="AQ22" s="517"/>
      <c r="AR22" s="517"/>
      <c r="AS22" s="515"/>
    </row>
    <row r="23" spans="2:45">
      <c r="B23" s="513" t="s">
        <v>693</v>
      </c>
      <c r="C23" s="512"/>
      <c r="D23" s="512"/>
      <c r="E23" s="511">
        <v>2010</v>
      </c>
      <c r="F23" s="511">
        <v>2011</v>
      </c>
      <c r="G23" s="511">
        <v>2012</v>
      </c>
      <c r="H23" s="511">
        <v>2013</v>
      </c>
      <c r="I23" s="511">
        <v>2014</v>
      </c>
      <c r="J23" s="511">
        <v>2015</v>
      </c>
      <c r="K23" s="511">
        <v>2016</v>
      </c>
      <c r="L23" s="511">
        <v>2017</v>
      </c>
      <c r="M23" s="511">
        <v>2018</v>
      </c>
      <c r="N23" s="511">
        <v>2019</v>
      </c>
      <c r="O23" s="511">
        <v>2020</v>
      </c>
      <c r="P23" s="511">
        <v>2021</v>
      </c>
      <c r="Q23" s="511">
        <v>2022</v>
      </c>
      <c r="R23" s="511">
        <v>2023</v>
      </c>
      <c r="S23" s="511">
        <v>2024</v>
      </c>
      <c r="T23" s="511">
        <v>2025</v>
      </c>
      <c r="U23" s="511">
        <v>2026</v>
      </c>
      <c r="V23" s="511">
        <v>2027</v>
      </c>
      <c r="W23" s="511">
        <v>2028</v>
      </c>
      <c r="X23" s="511">
        <v>2029</v>
      </c>
      <c r="Y23" s="511">
        <v>2030</v>
      </c>
      <c r="Z23" s="511">
        <v>2031</v>
      </c>
      <c r="AA23" s="511">
        <v>2032</v>
      </c>
      <c r="AB23" s="511">
        <v>2033</v>
      </c>
      <c r="AC23" s="511">
        <v>2034</v>
      </c>
      <c r="AD23" s="511">
        <v>2035</v>
      </c>
      <c r="AE23" s="511">
        <v>2036</v>
      </c>
      <c r="AF23" s="511">
        <v>2037</v>
      </c>
      <c r="AG23" s="511">
        <v>2038</v>
      </c>
      <c r="AH23" s="511">
        <v>2039</v>
      </c>
      <c r="AI23" s="511">
        <v>2040</v>
      </c>
      <c r="AJ23" s="511">
        <v>2041</v>
      </c>
      <c r="AK23" s="511">
        <v>2042</v>
      </c>
      <c r="AL23" s="511">
        <v>2043</v>
      </c>
      <c r="AM23" s="511">
        <v>2044</v>
      </c>
      <c r="AN23" s="511">
        <v>2045</v>
      </c>
      <c r="AO23" s="511">
        <v>2046</v>
      </c>
      <c r="AP23" s="511">
        <v>2047</v>
      </c>
      <c r="AQ23" s="511">
        <v>2048</v>
      </c>
      <c r="AR23" s="511">
        <v>2049</v>
      </c>
      <c r="AS23" s="510">
        <v>2050</v>
      </c>
    </row>
    <row r="24" spans="2:45" ht="15.75" thickBot="1">
      <c r="B24" s="523" t="s">
        <v>706</v>
      </c>
      <c r="C24" s="522"/>
      <c r="D24" s="522"/>
      <c r="E24" s="514">
        <v>163.69999999999999</v>
      </c>
      <c r="F24" s="514">
        <v>165.7</v>
      </c>
      <c r="G24" s="514">
        <v>164.8</v>
      </c>
      <c r="H24" s="514">
        <v>165</v>
      </c>
      <c r="I24" s="584">
        <v>166.9</v>
      </c>
      <c r="J24" s="584">
        <v>168.2</v>
      </c>
      <c r="K24" s="585">
        <f>K26*I31/K31</f>
        <v>167.7346232179226</v>
      </c>
      <c r="L24" s="585">
        <f>K24</f>
        <v>167.7346232179226</v>
      </c>
      <c r="M24" s="585">
        <f t="shared" ref="M24" si="5">L24</f>
        <v>167.7346232179226</v>
      </c>
      <c r="N24" s="585">
        <f>N11</f>
        <v>185.8068442</v>
      </c>
      <c r="O24" s="585">
        <f t="shared" ref="O24:AS24" si="6">O11</f>
        <v>184.07655935</v>
      </c>
      <c r="P24" s="585">
        <f t="shared" si="6"/>
        <v>253.35268764166668</v>
      </c>
      <c r="Q24" s="585">
        <f t="shared" si="6"/>
        <v>261.045616</v>
      </c>
      <c r="R24" s="585">
        <f t="shared" si="6"/>
        <v>268.97219250000001</v>
      </c>
      <c r="S24" s="585">
        <f t="shared" si="6"/>
        <v>277.13940400000001</v>
      </c>
      <c r="T24" s="585">
        <f t="shared" si="6"/>
        <v>285.55462599999998</v>
      </c>
      <c r="U24" s="585">
        <f t="shared" si="6"/>
        <v>294.22538300000002</v>
      </c>
      <c r="V24" s="585">
        <f t="shared" si="6"/>
        <v>303.15934849999996</v>
      </c>
      <c r="W24" s="585">
        <f t="shared" si="6"/>
        <v>312.36471750000004</v>
      </c>
      <c r="X24" s="585">
        <f t="shared" si="6"/>
        <v>321.849536</v>
      </c>
      <c r="Y24" s="585">
        <f t="shared" si="6"/>
        <v>331.622297</v>
      </c>
      <c r="Z24" s="585">
        <f t="shared" si="6"/>
        <v>339.44925793583332</v>
      </c>
      <c r="AA24" s="585">
        <f t="shared" si="6"/>
        <v>347.27621887166669</v>
      </c>
      <c r="AB24" s="585">
        <f t="shared" si="6"/>
        <v>355.1031798075</v>
      </c>
      <c r="AC24" s="585">
        <f t="shared" si="6"/>
        <v>362.93014074333331</v>
      </c>
      <c r="AD24" s="585">
        <f t="shared" si="6"/>
        <v>370.75710167916668</v>
      </c>
      <c r="AE24" s="585">
        <f t="shared" si="6"/>
        <v>378.58406261499999</v>
      </c>
      <c r="AF24" s="585">
        <f t="shared" si="6"/>
        <v>386.41102355083331</v>
      </c>
      <c r="AG24" s="585">
        <f t="shared" si="6"/>
        <v>394.23798448666668</v>
      </c>
      <c r="AH24" s="585">
        <f t="shared" si="6"/>
        <v>402.06494542249999</v>
      </c>
      <c r="AI24" s="585">
        <f t="shared" si="6"/>
        <v>409.89190635833336</v>
      </c>
      <c r="AJ24" s="585">
        <f t="shared" si="6"/>
        <v>417.71886729416667</v>
      </c>
      <c r="AK24" s="585">
        <f t="shared" si="6"/>
        <v>425.54582822999998</v>
      </c>
      <c r="AL24" s="585">
        <f t="shared" si="6"/>
        <v>433.3727891658333</v>
      </c>
      <c r="AM24" s="585">
        <f t="shared" si="6"/>
        <v>441.19975010166667</v>
      </c>
      <c r="AN24" s="585">
        <f t="shared" si="6"/>
        <v>449.02671103749998</v>
      </c>
      <c r="AO24" s="585">
        <f t="shared" si="6"/>
        <v>456.85367197333335</v>
      </c>
      <c r="AP24" s="585">
        <f t="shared" si="6"/>
        <v>464.68063290916666</v>
      </c>
      <c r="AQ24" s="585">
        <f t="shared" si="6"/>
        <v>472.50759384499997</v>
      </c>
      <c r="AR24" s="585">
        <f t="shared" si="6"/>
        <v>480.33455478083329</v>
      </c>
      <c r="AS24" s="585">
        <f t="shared" si="6"/>
        <v>488.16151571666666</v>
      </c>
    </row>
    <row r="25" spans="2:45">
      <c r="I25" s="582"/>
      <c r="J25" s="582"/>
      <c r="K25" s="582"/>
      <c r="L25" s="582"/>
      <c r="M25" s="582"/>
      <c r="N25" s="582"/>
      <c r="O25" s="582"/>
      <c r="P25" s="582"/>
      <c r="Q25" s="582"/>
      <c r="R25" s="582"/>
      <c r="S25" s="582"/>
      <c r="T25" s="582"/>
      <c r="U25" s="582"/>
      <c r="V25" s="582"/>
      <c r="W25" s="582"/>
      <c r="X25" s="582"/>
      <c r="Y25" s="582"/>
      <c r="Z25" s="582"/>
      <c r="AA25" s="582"/>
      <c r="AB25" s="582"/>
      <c r="AC25" s="582"/>
      <c r="AD25" s="582"/>
      <c r="AE25" s="582"/>
      <c r="AF25" s="582"/>
      <c r="AG25" s="582"/>
      <c r="AH25" s="582"/>
      <c r="AI25" s="582"/>
      <c r="AJ25" s="582"/>
      <c r="AK25" s="582"/>
      <c r="AL25" s="582"/>
      <c r="AM25" s="582"/>
      <c r="AN25" s="582"/>
      <c r="AO25" s="582"/>
      <c r="AP25" s="582"/>
      <c r="AQ25" s="582"/>
      <c r="AR25" s="582"/>
      <c r="AS25" s="582"/>
    </row>
    <row r="26" spans="2:45">
      <c r="I26" s="583" t="s">
        <v>410</v>
      </c>
      <c r="J26" s="583"/>
      <c r="K26" s="582">
        <v>171.4</v>
      </c>
      <c r="L26" s="583" t="s">
        <v>800</v>
      </c>
      <c r="M26" s="582">
        <v>2016</v>
      </c>
      <c r="N26" s="582"/>
      <c r="O26" s="582"/>
      <c r="P26" s="582"/>
      <c r="Q26" s="582"/>
      <c r="R26" s="582"/>
      <c r="S26" s="582"/>
      <c r="T26" s="582"/>
      <c r="U26" s="582"/>
      <c r="V26" s="582"/>
      <c r="W26" s="582"/>
      <c r="X26" s="582"/>
      <c r="Y26" s="582"/>
      <c r="Z26" s="582"/>
      <c r="AA26" s="582"/>
      <c r="AB26" s="582"/>
      <c r="AC26" s="582"/>
      <c r="AD26" s="582"/>
      <c r="AE26" s="582"/>
      <c r="AF26" s="582"/>
      <c r="AG26" s="582"/>
      <c r="AH26" s="582"/>
      <c r="AI26" s="582"/>
      <c r="AJ26" s="582"/>
      <c r="AK26" s="582"/>
      <c r="AL26" s="582"/>
      <c r="AM26" s="582"/>
      <c r="AN26" s="582"/>
      <c r="AO26" s="582"/>
      <c r="AP26" s="582"/>
      <c r="AQ26" s="582"/>
      <c r="AR26" s="582"/>
      <c r="AS26" s="582"/>
    </row>
    <row r="27" spans="2:45">
      <c r="I27" s="582"/>
      <c r="J27" s="582"/>
      <c r="K27" s="582"/>
      <c r="L27" s="582"/>
      <c r="M27" s="582"/>
      <c r="N27" s="582"/>
      <c r="O27" s="582"/>
      <c r="P27" s="582"/>
      <c r="Q27" s="582"/>
      <c r="R27" s="582"/>
      <c r="S27" s="582"/>
      <c r="T27" s="582"/>
      <c r="U27" s="582"/>
      <c r="V27" s="582"/>
      <c r="W27" s="582"/>
      <c r="X27" s="582"/>
      <c r="Y27" s="582"/>
      <c r="Z27" s="582"/>
      <c r="AA27" s="582"/>
      <c r="AB27" s="582"/>
      <c r="AC27" s="582"/>
      <c r="AD27" s="582"/>
      <c r="AE27" s="582"/>
      <c r="AF27" s="582"/>
      <c r="AG27" s="582"/>
      <c r="AH27" s="582"/>
      <c r="AI27" s="582"/>
      <c r="AJ27" s="582"/>
      <c r="AK27" s="582"/>
      <c r="AL27" s="582"/>
      <c r="AM27" s="582"/>
      <c r="AN27" s="582"/>
      <c r="AO27" s="582"/>
      <c r="AP27" s="582"/>
      <c r="AQ27" s="582"/>
      <c r="AR27" s="582"/>
      <c r="AS27" s="582"/>
    </row>
    <row r="28" spans="2:45">
      <c r="D28" s="581" t="s">
        <v>795</v>
      </c>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c r="AC28" s="582"/>
      <c r="AD28" s="582"/>
      <c r="AE28" s="582"/>
      <c r="AF28" s="582"/>
      <c r="AG28" s="582"/>
      <c r="AH28" s="582"/>
      <c r="AI28" s="582"/>
      <c r="AJ28" s="582"/>
      <c r="AK28" s="582"/>
      <c r="AL28" s="582"/>
      <c r="AM28" s="582"/>
      <c r="AN28" s="582"/>
      <c r="AO28" s="582"/>
      <c r="AP28" s="582"/>
      <c r="AQ28" s="582"/>
      <c r="AR28" s="582"/>
      <c r="AS28" s="582"/>
    </row>
    <row r="29" spans="2:45">
      <c r="D29" s="582" t="s">
        <v>796</v>
      </c>
      <c r="E29" s="581">
        <v>2010</v>
      </c>
      <c r="F29" s="581">
        <v>2011</v>
      </c>
      <c r="G29" s="581">
        <v>2012</v>
      </c>
      <c r="H29" s="581">
        <v>2013</v>
      </c>
      <c r="I29" s="581">
        <v>2014</v>
      </c>
      <c r="J29" s="581">
        <v>2015</v>
      </c>
      <c r="K29" s="581">
        <v>2016</v>
      </c>
      <c r="L29" s="581">
        <v>2017</v>
      </c>
      <c r="M29" s="581">
        <v>2018</v>
      </c>
      <c r="N29" s="581">
        <v>2019</v>
      </c>
      <c r="O29" s="581">
        <v>2020</v>
      </c>
      <c r="P29" s="581">
        <v>2021</v>
      </c>
      <c r="Q29" s="581">
        <v>2022</v>
      </c>
      <c r="R29" s="581">
        <v>2023</v>
      </c>
      <c r="S29" s="581">
        <v>2024</v>
      </c>
      <c r="T29" s="581">
        <v>2025</v>
      </c>
      <c r="U29" s="581">
        <v>2026</v>
      </c>
      <c r="V29" s="581">
        <v>2027</v>
      </c>
      <c r="W29" s="581">
        <v>2028</v>
      </c>
      <c r="X29" s="581">
        <v>2029</v>
      </c>
      <c r="Y29" s="581">
        <v>2030</v>
      </c>
      <c r="Z29" s="581">
        <v>2031</v>
      </c>
      <c r="AA29" s="581">
        <v>2032</v>
      </c>
      <c r="AB29" s="581">
        <v>2033</v>
      </c>
      <c r="AC29" s="581">
        <v>2034</v>
      </c>
      <c r="AD29" s="581">
        <v>2035</v>
      </c>
      <c r="AE29" s="581">
        <v>2036</v>
      </c>
      <c r="AF29" s="581">
        <v>2037</v>
      </c>
      <c r="AG29" s="581">
        <v>2038</v>
      </c>
      <c r="AH29" s="581">
        <v>2039</v>
      </c>
      <c r="AI29" s="581">
        <v>2040</v>
      </c>
      <c r="AJ29" s="582"/>
      <c r="AK29" s="582"/>
      <c r="AL29" s="582"/>
      <c r="AM29" s="582"/>
      <c r="AN29" s="582"/>
      <c r="AO29" s="582"/>
      <c r="AP29" s="582"/>
      <c r="AQ29" s="582"/>
      <c r="AR29" s="582"/>
      <c r="AS29" s="582"/>
    </row>
    <row r="30" spans="2:45">
      <c r="D30" s="583" t="s">
        <v>797</v>
      </c>
      <c r="E30" s="582"/>
      <c r="F30" s="582"/>
      <c r="G30" s="582"/>
      <c r="H30" s="582"/>
      <c r="I30" s="582"/>
      <c r="J30" s="582"/>
      <c r="K30" s="582"/>
      <c r="L30" s="582">
        <v>42</v>
      </c>
      <c r="M30" s="582">
        <v>43</v>
      </c>
      <c r="N30" s="582">
        <v>44</v>
      </c>
      <c r="O30" s="582">
        <v>46</v>
      </c>
      <c r="P30" s="582">
        <v>47</v>
      </c>
      <c r="Q30" s="582">
        <v>50</v>
      </c>
      <c r="R30" s="582">
        <v>52</v>
      </c>
      <c r="S30" s="582">
        <v>55</v>
      </c>
      <c r="T30" s="582">
        <v>58</v>
      </c>
      <c r="U30" s="582">
        <v>61</v>
      </c>
      <c r="V30" s="582">
        <v>65</v>
      </c>
      <c r="W30" s="582">
        <v>69</v>
      </c>
      <c r="X30" s="582">
        <v>73</v>
      </c>
      <c r="Y30" s="582">
        <v>77</v>
      </c>
      <c r="Z30" s="582">
        <v>81</v>
      </c>
      <c r="AA30" s="582">
        <v>86</v>
      </c>
      <c r="AB30" s="582">
        <v>91</v>
      </c>
      <c r="AC30" s="582">
        <v>97</v>
      </c>
      <c r="AD30" s="582">
        <v>103</v>
      </c>
      <c r="AE30" s="582">
        <v>109</v>
      </c>
      <c r="AF30" s="582">
        <v>115</v>
      </c>
      <c r="AG30" s="582">
        <v>122</v>
      </c>
      <c r="AH30" s="582">
        <v>129</v>
      </c>
      <c r="AI30" s="582">
        <v>137</v>
      </c>
      <c r="AJ30" s="582"/>
      <c r="AK30" s="582"/>
      <c r="AL30" s="582"/>
      <c r="AM30" s="582"/>
      <c r="AN30" s="582"/>
      <c r="AO30" s="582"/>
      <c r="AP30" s="582"/>
      <c r="AQ30" s="582"/>
      <c r="AR30" s="582"/>
      <c r="AS30" s="582"/>
    </row>
    <row r="31" spans="2:45">
      <c r="D31" s="582" t="s">
        <v>798</v>
      </c>
      <c r="E31" s="582">
        <v>0.90500000000000003</v>
      </c>
      <c r="F31" s="582">
        <v>0.91</v>
      </c>
      <c r="G31" s="582">
        <v>0.93600000000000005</v>
      </c>
      <c r="H31" s="582">
        <v>0.95199999999999996</v>
      </c>
      <c r="I31" s="582">
        <v>0.96099999999999997</v>
      </c>
      <c r="J31" s="582">
        <v>0.97599999999999998</v>
      </c>
      <c r="K31" s="582">
        <v>0.98199999999999998</v>
      </c>
      <c r="L31" s="582">
        <v>1</v>
      </c>
      <c r="M31" s="582">
        <v>1.02</v>
      </c>
      <c r="N31" s="582">
        <v>1.042</v>
      </c>
      <c r="O31" s="582">
        <v>1.0649999999999999</v>
      </c>
      <c r="P31" s="582">
        <v>1.087</v>
      </c>
      <c r="Q31" s="582">
        <v>1.107</v>
      </c>
      <c r="R31" s="582">
        <v>1.1299999999999999</v>
      </c>
      <c r="S31" s="582">
        <v>1.153</v>
      </c>
      <c r="T31" s="582">
        <v>1.1779999999999999</v>
      </c>
      <c r="U31" s="582">
        <v>1.2010000000000001</v>
      </c>
      <c r="V31" s="582">
        <v>1.2250000000000001</v>
      </c>
      <c r="W31" s="582">
        <v>1.25</v>
      </c>
      <c r="X31" s="582">
        <v>1.274</v>
      </c>
      <c r="Y31" s="582">
        <v>1.2989999999999999</v>
      </c>
      <c r="Z31" s="582">
        <v>1.325</v>
      </c>
      <c r="AA31" s="582">
        <v>1.351</v>
      </c>
      <c r="AB31" s="582">
        <v>1.377</v>
      </c>
      <c r="AC31" s="582">
        <v>1.4039999999999999</v>
      </c>
      <c r="AD31" s="582">
        <v>1.4319999999999999</v>
      </c>
      <c r="AE31" s="582">
        <v>1.46</v>
      </c>
      <c r="AF31" s="582">
        <v>1.488</v>
      </c>
      <c r="AG31" s="582">
        <v>1.5169999999999999</v>
      </c>
      <c r="AH31" s="582">
        <v>1.546</v>
      </c>
      <c r="AI31" s="582">
        <v>1.5760000000000001</v>
      </c>
      <c r="AJ31" s="582">
        <v>1.6065744000000002</v>
      </c>
      <c r="AK31" s="582">
        <v>1.6377419433600002</v>
      </c>
      <c r="AL31" s="582">
        <v>1.6695141370611843</v>
      </c>
      <c r="AM31" s="582">
        <v>1.7019027113201715</v>
      </c>
      <c r="AN31" s="582">
        <v>1.7349196239197828</v>
      </c>
      <c r="AO31" s="582">
        <v>1.7685770646238268</v>
      </c>
      <c r="AP31" s="582">
        <v>1.8028874596775293</v>
      </c>
      <c r="AQ31" s="582">
        <v>1.8378634763952735</v>
      </c>
      <c r="AR31" s="582">
        <v>1.873518027837342</v>
      </c>
      <c r="AS31" s="582">
        <v>1.9098642775773866</v>
      </c>
    </row>
    <row r="32" spans="2:45">
      <c r="D32" s="583" t="s">
        <v>799</v>
      </c>
      <c r="E32" s="582"/>
      <c r="F32" s="582"/>
      <c r="G32" s="582"/>
      <c r="H32" s="582"/>
      <c r="I32" s="582"/>
      <c r="J32" s="582"/>
      <c r="K32" s="582"/>
      <c r="L32" s="582">
        <f>L30/(1+($L$31-$I$31)/$L$31)</f>
        <v>40.423484119345517</v>
      </c>
      <c r="M32" s="582">
        <f t="shared" ref="M32:AI32" si="7">M30/(1+($L$31-$I$31)/$L$31)</f>
        <v>41.385948026948981</v>
      </c>
      <c r="N32" s="582">
        <f t="shared" si="7"/>
        <v>42.348411934552452</v>
      </c>
      <c r="O32" s="582">
        <f t="shared" si="7"/>
        <v>44.27333974975938</v>
      </c>
      <c r="P32" s="582">
        <f t="shared" si="7"/>
        <v>45.235803657362844</v>
      </c>
      <c r="Q32" s="582">
        <f t="shared" si="7"/>
        <v>48.123195380173236</v>
      </c>
      <c r="R32" s="582">
        <f t="shared" si="7"/>
        <v>50.048123195380164</v>
      </c>
      <c r="S32" s="582">
        <f t="shared" si="7"/>
        <v>52.935514918190563</v>
      </c>
      <c r="T32" s="582">
        <f t="shared" si="7"/>
        <v>55.822906641000955</v>
      </c>
      <c r="U32" s="582">
        <f t="shared" si="7"/>
        <v>58.710298363811347</v>
      </c>
      <c r="V32" s="582">
        <f t="shared" si="7"/>
        <v>62.56015399422521</v>
      </c>
      <c r="W32" s="582">
        <f t="shared" si="7"/>
        <v>66.410009624639073</v>
      </c>
      <c r="X32" s="582">
        <f t="shared" si="7"/>
        <v>70.259865255052929</v>
      </c>
      <c r="Y32" s="582">
        <f t="shared" si="7"/>
        <v>74.109720885466785</v>
      </c>
      <c r="Z32" s="582">
        <f t="shared" si="7"/>
        <v>77.959576515880642</v>
      </c>
      <c r="AA32" s="582">
        <f t="shared" si="7"/>
        <v>82.771896053897962</v>
      </c>
      <c r="AB32" s="582">
        <f t="shared" si="7"/>
        <v>87.584215591915296</v>
      </c>
      <c r="AC32" s="582">
        <f t="shared" si="7"/>
        <v>93.35899903753608</v>
      </c>
      <c r="AD32" s="582">
        <f t="shared" si="7"/>
        <v>99.133782483156864</v>
      </c>
      <c r="AE32" s="582">
        <f t="shared" si="7"/>
        <v>104.90856592877766</v>
      </c>
      <c r="AF32" s="582">
        <f t="shared" si="7"/>
        <v>110.68334937439845</v>
      </c>
      <c r="AG32" s="582">
        <f t="shared" si="7"/>
        <v>117.42059672762269</v>
      </c>
      <c r="AH32" s="582">
        <f t="shared" si="7"/>
        <v>124.15784408084696</v>
      </c>
      <c r="AI32" s="582">
        <f t="shared" si="7"/>
        <v>131.85755534167467</v>
      </c>
      <c r="AJ32" s="582"/>
      <c r="AK32" s="582"/>
      <c r="AL32" s="582"/>
      <c r="AM32" s="582"/>
      <c r="AN32" s="582"/>
      <c r="AO32" s="582"/>
      <c r="AP32" s="582"/>
      <c r="AQ32" s="582"/>
      <c r="AR32" s="582"/>
      <c r="AS32" s="582"/>
    </row>
    <row r="37" spans="4:7">
      <c r="D37" s="819" t="s">
        <v>1160</v>
      </c>
    </row>
    <row r="38" spans="4:7">
      <c r="D38" s="810" t="s">
        <v>1155</v>
      </c>
      <c r="E38" s="811"/>
      <c r="F38" s="576"/>
      <c r="G38" s="576"/>
    </row>
    <row r="39" spans="4:7" ht="30">
      <c r="D39" s="812" t="s">
        <v>1156</v>
      </c>
      <c r="E39" s="813" t="s">
        <v>1157</v>
      </c>
      <c r="F39" s="813" t="s">
        <v>1158</v>
      </c>
      <c r="G39" s="813" t="s">
        <v>1159</v>
      </c>
    </row>
    <row r="40" spans="4:7">
      <c r="D40" s="814">
        <v>2010</v>
      </c>
      <c r="E40" s="815"/>
      <c r="F40" s="815"/>
      <c r="G40" s="816">
        <v>121.88031054345412</v>
      </c>
    </row>
    <row r="41" spans="4:7">
      <c r="D41" s="814">
        <v>2011</v>
      </c>
      <c r="E41" s="815"/>
      <c r="F41" s="815"/>
      <c r="G41" s="816">
        <v>111.24725539371799</v>
      </c>
    </row>
    <row r="42" spans="4:7">
      <c r="D42" s="814">
        <v>2012</v>
      </c>
      <c r="E42" s="815"/>
      <c r="F42" s="815"/>
      <c r="G42" s="816">
        <v>61.155678910855464</v>
      </c>
    </row>
    <row r="43" spans="4:7">
      <c r="D43" s="814">
        <v>2013</v>
      </c>
      <c r="E43" s="815"/>
      <c r="F43" s="815"/>
      <c r="G43" s="816">
        <v>35.001902899999997</v>
      </c>
    </row>
    <row r="44" spans="4:7">
      <c r="D44" s="814">
        <v>2014</v>
      </c>
      <c r="E44" s="815"/>
      <c r="F44" s="815"/>
      <c r="G44" s="816">
        <v>46.969232750000003</v>
      </c>
    </row>
    <row r="45" spans="4:7">
      <c r="D45" s="814">
        <v>2015</v>
      </c>
      <c r="E45" s="815"/>
      <c r="F45" s="815"/>
      <c r="G45" s="816">
        <v>60.492733500000007</v>
      </c>
    </row>
    <row r="46" spans="4:7">
      <c r="D46" s="814">
        <v>2016</v>
      </c>
      <c r="E46" s="815"/>
      <c r="F46" s="815"/>
      <c r="G46" s="816">
        <v>41.585929800000002</v>
      </c>
    </row>
    <row r="47" spans="4:7">
      <c r="D47" s="814">
        <v>2017</v>
      </c>
      <c r="E47" s="815"/>
      <c r="F47" s="815"/>
      <c r="G47" s="816">
        <v>44.920616850000002</v>
      </c>
    </row>
    <row r="48" spans="4:7">
      <c r="D48" s="814">
        <v>2018</v>
      </c>
      <c r="E48" s="817"/>
      <c r="F48" s="817"/>
      <c r="G48" s="816">
        <v>119.47093414999999</v>
      </c>
    </row>
    <row r="49" spans="4:7">
      <c r="D49" s="814">
        <v>2019</v>
      </c>
      <c r="E49" s="816">
        <v>185.8068442</v>
      </c>
      <c r="F49" s="816">
        <v>185.8068442</v>
      </c>
      <c r="G49" s="816">
        <v>185.8068442</v>
      </c>
    </row>
    <row r="50" spans="4:7">
      <c r="D50" s="814">
        <v>2020</v>
      </c>
      <c r="E50" s="816">
        <v>184.07655935</v>
      </c>
      <c r="F50" s="816">
        <v>218.37876003443415</v>
      </c>
      <c r="G50" s="816">
        <v>184.07655935</v>
      </c>
    </row>
    <row r="51" spans="4:7">
      <c r="D51" s="814">
        <v>2021</v>
      </c>
      <c r="E51" s="816">
        <v>253.35268764166668</v>
      </c>
      <c r="F51" s="816">
        <v>224.87056674380793</v>
      </c>
      <c r="G51" s="818"/>
    </row>
    <row r="52" spans="4:7">
      <c r="D52" s="814">
        <v>2022</v>
      </c>
      <c r="E52" s="816">
        <v>261.045616</v>
      </c>
      <c r="F52" s="816">
        <v>231.55547133744392</v>
      </c>
      <c r="G52" s="818"/>
    </row>
    <row r="53" spans="4:7">
      <c r="D53" s="814">
        <v>2023</v>
      </c>
      <c r="E53" s="816">
        <v>268.97219250000001</v>
      </c>
      <c r="F53" s="816">
        <v>238.43901257587294</v>
      </c>
      <c r="G53" s="818"/>
    </row>
    <row r="54" spans="4:7">
      <c r="D54" s="814">
        <v>2024</v>
      </c>
      <c r="E54" s="816">
        <v>277.13940400000001</v>
      </c>
      <c r="F54" s="816">
        <v>245.52718446021757</v>
      </c>
      <c r="G54" s="818"/>
    </row>
    <row r="55" spans="4:7">
      <c r="D55" s="814">
        <v>2025</v>
      </c>
      <c r="E55" s="816">
        <v>285.55462599999998</v>
      </c>
      <c r="F55" s="816">
        <v>252.82613273846408</v>
      </c>
      <c r="G55" s="818"/>
    </row>
    <row r="56" spans="4:7">
      <c r="D56" s="814">
        <v>2026</v>
      </c>
      <c r="E56" s="816">
        <v>294.22538300000002</v>
      </c>
      <c r="F56" s="816">
        <v>260.3420031585988</v>
      </c>
      <c r="G56" s="818"/>
    </row>
    <row r="57" spans="4:7">
      <c r="D57" s="814">
        <v>2027</v>
      </c>
      <c r="E57" s="816">
        <v>303.15934849999996</v>
      </c>
      <c r="F57" s="816">
        <v>268.08132083576783</v>
      </c>
      <c r="G57" s="818"/>
    </row>
    <row r="58" spans="4:7">
      <c r="D58" s="814">
        <v>2028</v>
      </c>
      <c r="E58" s="816">
        <v>312.36471750000004</v>
      </c>
      <c r="F58" s="816">
        <v>276.05068675854886</v>
      </c>
      <c r="G58" s="818"/>
    </row>
    <row r="59" spans="4:7">
      <c r="D59" s="814">
        <v>2029</v>
      </c>
      <c r="E59" s="816">
        <v>321.849536</v>
      </c>
      <c r="F59" s="816">
        <v>284.25700540924782</v>
      </c>
      <c r="G59" s="818"/>
    </row>
    <row r="60" spans="4:7">
      <c r="D60" s="814">
        <v>2030</v>
      </c>
      <c r="E60" s="816">
        <v>331.622297</v>
      </c>
      <c r="F60" s="816">
        <v>292.70725714360213</v>
      </c>
      <c r="G60" s="81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rgb="FF92D050"/>
  </sheetPr>
  <dimension ref="B1:AJ101"/>
  <sheetViews>
    <sheetView tabSelected="1" zoomScaleNormal="100" workbookViewId="0">
      <selection activeCell="B5" sqref="B5"/>
    </sheetView>
  </sheetViews>
  <sheetFormatPr defaultColWidth="9.140625" defaultRowHeight="12.75"/>
  <cols>
    <col min="1" max="1" width="2" style="123" bestFit="1" customWidth="1"/>
    <col min="2" max="2" width="6.28515625" style="123" bestFit="1" customWidth="1"/>
    <col min="3" max="3" width="11.42578125" style="123" bestFit="1" customWidth="1"/>
    <col min="4" max="7" width="16.28515625" style="123" customWidth="1"/>
    <col min="8" max="8" width="11.7109375" style="123" bestFit="1" customWidth="1"/>
    <col min="9" max="9" width="10.42578125" style="123" customWidth="1"/>
    <col min="10" max="10" width="15.5703125" style="123" customWidth="1"/>
    <col min="11" max="12" width="8.28515625" style="123" customWidth="1"/>
    <col min="13" max="14" width="10.5703125" style="123" customWidth="1"/>
    <col min="15" max="15" width="11.28515625" style="123" bestFit="1" customWidth="1"/>
    <col min="16" max="16" width="11.28515625" style="123" customWidth="1"/>
    <col min="17" max="17" width="11.140625" style="123" customWidth="1"/>
    <col min="18" max="18" width="9.7109375" style="123" customWidth="1"/>
    <col min="19" max="20" width="8.42578125" style="123" customWidth="1"/>
    <col min="21" max="21" width="13.42578125" style="123" bestFit="1" customWidth="1"/>
    <col min="22" max="22" width="13.42578125" style="123" customWidth="1"/>
    <col min="23" max="23" width="13.42578125" style="123" bestFit="1" customWidth="1"/>
    <col min="24" max="24" width="16" style="226" customWidth="1"/>
    <col min="25" max="25" width="15" style="123" customWidth="1"/>
    <col min="26" max="16384" width="9.140625" style="123"/>
  </cols>
  <sheetData>
    <row r="1" spans="2:32">
      <c r="W1" s="204"/>
      <c r="X1" s="204"/>
      <c r="AC1" s="226"/>
    </row>
    <row r="2" spans="2:32">
      <c r="H2" s="205" t="s">
        <v>7</v>
      </c>
      <c r="T2" s="182"/>
      <c r="U2" s="182"/>
      <c r="X2" s="123"/>
      <c r="AD2" s="226"/>
    </row>
    <row r="3" spans="2:32" ht="31.5" customHeight="1">
      <c r="B3" s="206" t="s">
        <v>0</v>
      </c>
      <c r="C3" s="206" t="s">
        <v>1</v>
      </c>
      <c r="D3" s="206" t="s">
        <v>2</v>
      </c>
      <c r="E3" s="206" t="s">
        <v>84</v>
      </c>
      <c r="F3" s="206" t="s">
        <v>85</v>
      </c>
      <c r="G3" s="206" t="s">
        <v>13</v>
      </c>
      <c r="H3" s="206" t="s">
        <v>242</v>
      </c>
      <c r="I3" s="206" t="s">
        <v>365</v>
      </c>
      <c r="J3" s="206" t="s">
        <v>366</v>
      </c>
      <c r="K3" s="206" t="s">
        <v>96</v>
      </c>
      <c r="L3" s="741" t="s">
        <v>1095</v>
      </c>
      <c r="M3" s="206" t="s">
        <v>86</v>
      </c>
      <c r="N3" s="206" t="s">
        <v>152</v>
      </c>
      <c r="O3" s="206" t="s">
        <v>357</v>
      </c>
      <c r="P3" s="206" t="s">
        <v>360</v>
      </c>
      <c r="Q3" s="243" t="s">
        <v>359</v>
      </c>
      <c r="R3" s="243" t="s">
        <v>358</v>
      </c>
      <c r="S3" s="206" t="s">
        <v>87</v>
      </c>
      <c r="T3" s="206" t="s">
        <v>319</v>
      </c>
      <c r="U3" s="206" t="s">
        <v>299</v>
      </c>
      <c r="V3" s="207" t="s">
        <v>153</v>
      </c>
      <c r="W3" s="207" t="s">
        <v>155</v>
      </c>
      <c r="X3" s="207" t="s">
        <v>165</v>
      </c>
      <c r="Y3" s="631" t="s">
        <v>826</v>
      </c>
      <c r="Z3" s="631" t="s">
        <v>827</v>
      </c>
      <c r="AA3" s="207" t="s">
        <v>362</v>
      </c>
      <c r="AB3" s="244" t="s">
        <v>361</v>
      </c>
      <c r="AC3" s="206" t="s">
        <v>168</v>
      </c>
      <c r="AD3" s="206" t="s">
        <v>88</v>
      </c>
      <c r="AE3" s="226"/>
      <c r="AF3" s="208" t="s">
        <v>166</v>
      </c>
    </row>
    <row r="4" spans="2:32" ht="45.75" thickBot="1">
      <c r="B4" s="209" t="s">
        <v>149</v>
      </c>
      <c r="C4" s="209"/>
      <c r="D4" s="209" t="s">
        <v>95</v>
      </c>
      <c r="E4" s="209" t="s">
        <v>89</v>
      </c>
      <c r="F4" s="209" t="s">
        <v>90</v>
      </c>
      <c r="G4" s="209" t="s">
        <v>91</v>
      </c>
      <c r="H4" s="209" t="s">
        <v>340</v>
      </c>
      <c r="I4" s="209" t="s">
        <v>151</v>
      </c>
      <c r="J4" s="209" t="s">
        <v>150</v>
      </c>
      <c r="K4" s="209" t="s">
        <v>92</v>
      </c>
      <c r="L4" s="632"/>
      <c r="M4" s="209" t="s">
        <v>169</v>
      </c>
      <c r="N4" s="209" t="s">
        <v>93</v>
      </c>
      <c r="O4" s="209" t="s">
        <v>351</v>
      </c>
      <c r="P4" s="209" t="s">
        <v>352</v>
      </c>
      <c r="Q4" s="209" t="s">
        <v>353</v>
      </c>
      <c r="R4" s="209" t="s">
        <v>354</v>
      </c>
      <c r="S4" s="209" t="s">
        <v>294</v>
      </c>
      <c r="T4" s="209" t="s">
        <v>320</v>
      </c>
      <c r="U4" s="209" t="s">
        <v>154</v>
      </c>
      <c r="V4" s="209" t="s">
        <v>156</v>
      </c>
      <c r="W4" s="209" t="s">
        <v>157</v>
      </c>
      <c r="X4" s="209"/>
      <c r="Y4" s="632"/>
      <c r="Z4" s="632"/>
      <c r="AA4" s="209" t="s">
        <v>356</v>
      </c>
      <c r="AB4" s="209" t="s">
        <v>355</v>
      </c>
      <c r="AC4" s="209" t="s">
        <v>94</v>
      </c>
      <c r="AD4" s="209" t="s">
        <v>94</v>
      </c>
      <c r="AE4" s="226"/>
      <c r="AF4" s="227" t="s">
        <v>167</v>
      </c>
    </row>
    <row r="5" spans="2:32">
      <c r="B5" s="126"/>
      <c r="C5" s="210" t="str">
        <f>Processes!D74</f>
        <v>SREFDK1</v>
      </c>
      <c r="D5" s="210" t="str">
        <f>Processes!E74</f>
        <v>Refinery Denmark 1</v>
      </c>
      <c r="E5" s="210"/>
      <c r="F5" s="195" t="str">
        <f>Commodities!$D$23</f>
        <v>CRD</v>
      </c>
      <c r="I5" s="211"/>
      <c r="J5" s="211"/>
      <c r="K5" s="211"/>
      <c r="L5" s="211"/>
      <c r="M5" s="123">
        <v>1</v>
      </c>
      <c r="N5" s="123">
        <v>1</v>
      </c>
      <c r="O5" s="211">
        <f>Refinery_data!CR32*10^-6*Refinery_data!BF52</f>
        <v>178.6579968520968</v>
      </c>
      <c r="P5" s="211">
        <f>Refinery_data!CT32*10^-6*Refinery_data!BF52</f>
        <v>205.14257889121345</v>
      </c>
      <c r="Q5" s="211">
        <f>Refinery_data!CR32*10^-6*(1-Refinery_data!BF52)</f>
        <v>137.58368914790316</v>
      </c>
      <c r="R5" s="211">
        <f>Refinery_data!CT32*10^-6*(1-Refinery_data!BF52)</f>
        <v>157.97934210878654</v>
      </c>
      <c r="S5" s="240"/>
      <c r="T5" s="215"/>
      <c r="U5" s="212"/>
      <c r="V5" s="212"/>
      <c r="W5" s="211"/>
      <c r="X5" s="211"/>
      <c r="Y5" s="211"/>
      <c r="Z5" s="211"/>
      <c r="AA5" s="211">
        <f>Refinery_data!DA30*(1+Refineries!AF5)*10^-6*Refinery_data!BF52</f>
        <v>211.78014264101495</v>
      </c>
      <c r="AB5" s="211">
        <f>Refinery_data!DA30*(1+$AF$5)*10^-6*(1-Refinery_data!BF52)</f>
        <v>163.09089895898506</v>
      </c>
      <c r="AC5" s="213">
        <v>5</v>
      </c>
      <c r="AD5" s="213">
        <v>5</v>
      </c>
      <c r="AE5" s="226"/>
      <c r="AF5" s="214">
        <v>0.1</v>
      </c>
    </row>
    <row r="6" spans="2:32">
      <c r="B6" s="126"/>
      <c r="C6" s="126"/>
      <c r="D6" s="210"/>
      <c r="G6" s="195" t="str">
        <f>Commodities!D25</f>
        <v>LPG</v>
      </c>
      <c r="H6" s="463" t="s">
        <v>686</v>
      </c>
      <c r="I6" s="211">
        <f>Refinery_data!CR21</f>
        <v>2.2963077063261395E-2</v>
      </c>
      <c r="J6" s="211">
        <f>Refinery_data!CT21</f>
        <v>2.1959855754299481E-2</v>
      </c>
      <c r="M6" s="216"/>
      <c r="N6" s="216"/>
      <c r="O6" s="216"/>
      <c r="P6" s="216"/>
      <c r="Q6" s="216"/>
      <c r="R6" s="216"/>
      <c r="S6" s="228"/>
      <c r="T6" s="239">
        <f>G49</f>
        <v>3.8999999999999986</v>
      </c>
      <c r="U6" s="217"/>
      <c r="V6" s="217"/>
      <c r="W6" s="211">
        <f>Refinery_data!DC21</f>
        <v>2.6209679369957096E-2</v>
      </c>
      <c r="X6" s="211">
        <f>Refinery_data!DA21</f>
        <v>1.7177091872849815E-2</v>
      </c>
      <c r="Y6" s="211">
        <v>5</v>
      </c>
      <c r="Z6" s="211">
        <v>5</v>
      </c>
      <c r="AA6" s="216"/>
      <c r="AB6" s="216"/>
      <c r="AC6" s="216"/>
      <c r="AD6" s="216"/>
      <c r="AE6" s="226"/>
    </row>
    <row r="7" spans="2:32">
      <c r="B7" s="126"/>
      <c r="C7" s="210"/>
      <c r="D7" s="210"/>
      <c r="F7" s="195"/>
      <c r="G7" s="195" t="str">
        <f>Commodities!D26</f>
        <v>LVN</v>
      </c>
      <c r="H7" s="463" t="s">
        <v>686</v>
      </c>
      <c r="I7" s="211">
        <f>Refinery_data!CR22</f>
        <v>9.5723328931499145E-3</v>
      </c>
      <c r="J7" s="211">
        <f>Refinery_data!CT22</f>
        <v>3.7578979000014598E-2</v>
      </c>
      <c r="M7" s="217"/>
      <c r="N7" s="217"/>
      <c r="O7" s="217"/>
      <c r="P7" s="217"/>
      <c r="Q7" s="217"/>
      <c r="R7" s="217"/>
      <c r="S7" s="229"/>
      <c r="T7" s="239">
        <f t="shared" ref="T7:T11" si="0">G50</f>
        <v>3.8999999999999986</v>
      </c>
      <c r="U7" s="195"/>
      <c r="V7" s="195"/>
      <c r="W7" s="211">
        <f>Refinery_data!DC22</f>
        <v>3.7578979000014598E-2</v>
      </c>
      <c r="X7" s="211">
        <f>Refinery_data!DA22</f>
        <v>7.8816209622916446E-3</v>
      </c>
      <c r="Y7" s="211">
        <v>5</v>
      </c>
      <c r="Z7" s="211">
        <v>5</v>
      </c>
      <c r="AA7" s="217"/>
      <c r="AB7" s="217"/>
      <c r="AC7" s="217"/>
      <c r="AD7" s="211"/>
      <c r="AE7" s="226"/>
    </row>
    <row r="8" spans="2:32">
      <c r="B8" s="126"/>
      <c r="C8" s="210"/>
      <c r="D8" s="210"/>
      <c r="E8" s="210"/>
      <c r="F8" s="195"/>
      <c r="G8" s="195" t="str">
        <f>Commodities!D27</f>
        <v>GSL</v>
      </c>
      <c r="H8" s="463" t="s">
        <v>686</v>
      </c>
      <c r="I8" s="211">
        <f>Refinery_data!CR23</f>
        <v>0.28768438137344149</v>
      </c>
      <c r="J8" s="211">
        <f>Refinery_data!CT23</f>
        <v>0.26567063269258406</v>
      </c>
      <c r="K8" s="218"/>
      <c r="L8" s="218"/>
      <c r="M8" s="217"/>
      <c r="N8" s="217"/>
      <c r="O8" s="217"/>
      <c r="P8" s="217"/>
      <c r="Q8" s="217"/>
      <c r="R8" s="217"/>
      <c r="S8" s="230"/>
      <c r="T8" s="239">
        <f t="shared" si="0"/>
        <v>17.599999999999998</v>
      </c>
      <c r="U8" s="195"/>
      <c r="V8" s="195"/>
      <c r="W8" s="211">
        <f>Refinery_data!DC23</f>
        <v>0.3032999624209245</v>
      </c>
      <c r="X8" s="211">
        <f>Refinery_data!DA23</f>
        <v>0.25287884854956061</v>
      </c>
      <c r="Y8" s="211">
        <v>5</v>
      </c>
      <c r="Z8" s="211">
        <v>5</v>
      </c>
      <c r="AA8" s="217"/>
      <c r="AB8" s="217"/>
      <c r="AC8" s="217"/>
      <c r="AD8" s="211"/>
      <c r="AE8" s="226"/>
    </row>
    <row r="9" spans="2:32">
      <c r="B9" s="126"/>
      <c r="C9" s="210"/>
      <c r="D9" s="210"/>
      <c r="E9" s="210"/>
      <c r="F9" s="195"/>
      <c r="G9" s="195" t="str">
        <f>Commodities!D28</f>
        <v>KER</v>
      </c>
      <c r="H9" s="463" t="s">
        <v>686</v>
      </c>
      <c r="I9" s="211">
        <f>Refinery_data!CR24</f>
        <v>0.10953963139753704</v>
      </c>
      <c r="J9" s="211">
        <f>Refinery_data!CT24</f>
        <v>0.10111975211050818</v>
      </c>
      <c r="K9" s="218"/>
      <c r="L9" s="218"/>
      <c r="M9" s="217"/>
      <c r="N9" s="217"/>
      <c r="O9" s="217"/>
      <c r="P9" s="217"/>
      <c r="Q9" s="217"/>
      <c r="R9" s="217"/>
      <c r="S9" s="230"/>
      <c r="T9" s="239">
        <f t="shared" si="0"/>
        <v>13.7</v>
      </c>
      <c r="U9" s="195"/>
      <c r="V9" s="195"/>
      <c r="W9" s="211">
        <f>Refinery_data!DC24</f>
        <v>0.12513263625088755</v>
      </c>
      <c r="X9" s="211">
        <f>Refinery_data!DA24</f>
        <v>5.5209833844451016E-2</v>
      </c>
      <c r="Y9" s="211">
        <v>5</v>
      </c>
      <c r="Z9" s="211">
        <v>5</v>
      </c>
      <c r="AA9" s="217"/>
      <c r="AB9" s="217"/>
      <c r="AC9" s="217"/>
      <c r="AD9" s="211"/>
      <c r="AE9" s="226"/>
    </row>
    <row r="10" spans="2:32">
      <c r="B10" s="126"/>
      <c r="C10" s="210"/>
      <c r="D10" s="210"/>
      <c r="E10" s="210"/>
      <c r="F10" s="195"/>
      <c r="G10" s="195" t="str">
        <f>Commodities!D29</f>
        <v>DSL</v>
      </c>
      <c r="H10" s="463" t="s">
        <v>686</v>
      </c>
      <c r="I10" s="211">
        <f>Refinery_data!CR25</f>
        <v>0.38762795666507732</v>
      </c>
      <c r="J10" s="211">
        <f>Refinery_data!CT25</f>
        <v>0.42727798049258547</v>
      </c>
      <c r="K10" s="218"/>
      <c r="L10" s="218"/>
      <c r="M10" s="217"/>
      <c r="N10" s="217"/>
      <c r="O10" s="217"/>
      <c r="P10" s="217"/>
      <c r="Q10" s="217"/>
      <c r="R10" s="217"/>
      <c r="S10" s="230"/>
      <c r="T10" s="239">
        <f>G53</f>
        <v>16.5</v>
      </c>
      <c r="U10" s="195"/>
      <c r="V10" s="195"/>
      <c r="W10" s="219">
        <f>Refinery_data!DC25</f>
        <v>0.43563404842412246</v>
      </c>
      <c r="X10" s="211">
        <f>Refinery_data!DA25</f>
        <v>0.37049313457542904</v>
      </c>
      <c r="Y10" s="211">
        <v>5</v>
      </c>
      <c r="Z10" s="211">
        <v>5</v>
      </c>
      <c r="AA10" s="217"/>
      <c r="AB10" s="217"/>
      <c r="AC10" s="217"/>
      <c r="AD10" s="211"/>
      <c r="AE10" s="226"/>
    </row>
    <row r="11" spans="2:32">
      <c r="B11" s="224"/>
      <c r="C11" s="210"/>
      <c r="D11" s="210"/>
      <c r="E11" s="210"/>
      <c r="F11" s="195"/>
      <c r="G11" s="195" t="str">
        <f>Commodities!D30</f>
        <v>HFO</v>
      </c>
      <c r="H11" s="463" t="s">
        <v>686</v>
      </c>
      <c r="I11" s="211">
        <f>Refinery_data!CR26</f>
        <v>0.18261262060753281</v>
      </c>
      <c r="J11" s="211">
        <f>Refinery_data!CT26</f>
        <v>0.1463927999500082</v>
      </c>
      <c r="K11" s="218"/>
      <c r="L11" s="218"/>
      <c r="M11" s="211"/>
      <c r="N11" s="211"/>
      <c r="O11" s="211"/>
      <c r="P11" s="211"/>
      <c r="Q11" s="211"/>
      <c r="R11" s="211"/>
      <c r="S11" s="230"/>
      <c r="T11" s="239">
        <f t="shared" si="0"/>
        <v>-11.8</v>
      </c>
      <c r="U11" s="195"/>
      <c r="V11" s="195"/>
      <c r="W11" s="211">
        <f>Refinery_data!DC26</f>
        <v>0.24117145085288647</v>
      </c>
      <c r="X11" s="211">
        <f>Refinery_data!DA26</f>
        <v>0.1463927999500082</v>
      </c>
      <c r="Y11" s="211">
        <v>5</v>
      </c>
      <c r="Z11" s="211">
        <v>5</v>
      </c>
      <c r="AA11" s="211"/>
      <c r="AB11" s="211"/>
      <c r="AC11" s="211"/>
      <c r="AD11" s="211"/>
      <c r="AE11" s="226"/>
    </row>
    <row r="12" spans="2:32">
      <c r="B12" s="224"/>
      <c r="C12" s="210"/>
      <c r="D12" s="210"/>
      <c r="E12" s="691" t="s">
        <v>991</v>
      </c>
      <c r="F12" s="195"/>
      <c r="G12" s="195"/>
      <c r="H12" s="578"/>
      <c r="I12" s="211"/>
      <c r="J12" s="211"/>
      <c r="K12" s="211">
        <f>1/Refinery_data!$CR$35-M5</f>
        <v>4.6633481837070834E-2</v>
      </c>
      <c r="L12" s="211">
        <f>1/Refinery_data!$CR$35-N5</f>
        <v>4.6633481837070834E-2</v>
      </c>
      <c r="M12" s="211"/>
      <c r="N12" s="211"/>
      <c r="O12" s="211"/>
      <c r="P12" s="211"/>
      <c r="Q12" s="211"/>
      <c r="R12" s="211"/>
      <c r="S12" s="230"/>
      <c r="T12" s="239"/>
      <c r="U12" s="195"/>
      <c r="V12" s="195"/>
      <c r="W12" s="211"/>
      <c r="X12" s="211"/>
      <c r="Y12" s="211"/>
      <c r="Z12" s="211"/>
      <c r="AA12" s="211"/>
      <c r="AB12" s="211"/>
      <c r="AC12" s="211"/>
      <c r="AD12" s="211"/>
      <c r="AE12" s="226"/>
    </row>
    <row r="13" spans="2:32">
      <c r="B13" s="224"/>
      <c r="C13" s="210"/>
      <c r="D13" s="210"/>
      <c r="E13" s="195" t="str">
        <f>Commodities!$D$64</f>
        <v>SUPELC</v>
      </c>
      <c r="F13" s="195"/>
      <c r="G13" s="195"/>
      <c r="I13" s="211"/>
      <c r="J13" s="211"/>
      <c r="K13" s="215">
        <f>Refinery_data!$CR$29/Refineries!O5*10^-6*Refinery_data!BF52</f>
        <v>3.6994996289009163E-3</v>
      </c>
      <c r="L13" s="215"/>
      <c r="M13" s="211"/>
      <c r="N13" s="211"/>
      <c r="O13" s="211"/>
      <c r="P13" s="211"/>
      <c r="Q13" s="211"/>
      <c r="R13" s="211"/>
      <c r="S13" s="230"/>
      <c r="T13" s="230"/>
      <c r="U13" s="195"/>
      <c r="V13" s="195"/>
      <c r="W13" s="211"/>
      <c r="X13" s="211"/>
      <c r="Y13" s="211"/>
      <c r="Z13" s="211"/>
      <c r="AA13" s="211"/>
      <c r="AB13" s="211"/>
      <c r="AC13" s="211"/>
      <c r="AD13" s="211"/>
      <c r="AE13" s="226"/>
    </row>
    <row r="14" spans="2:32">
      <c r="B14" s="220"/>
      <c r="C14" s="221"/>
      <c r="D14" s="221"/>
      <c r="E14" s="221" t="str">
        <f>Commodities!$D$65</f>
        <v>SUPHETC</v>
      </c>
      <c r="F14" s="203"/>
      <c r="G14" s="203"/>
      <c r="H14" s="223"/>
      <c r="I14" s="222"/>
      <c r="J14" s="222"/>
      <c r="K14" s="225">
        <f>(Refinery_data!$CR$30/Refineries!O5)*10^-6*Refinery_data!BF52</f>
        <v>1.846505460383866E-3</v>
      </c>
      <c r="L14" s="742"/>
      <c r="M14" s="222"/>
      <c r="N14" s="222"/>
      <c r="O14" s="222"/>
      <c r="P14" s="222"/>
      <c r="Q14" s="222"/>
      <c r="R14" s="222"/>
      <c r="S14" s="231"/>
      <c r="T14" s="231"/>
      <c r="U14" s="203"/>
      <c r="V14" s="203"/>
      <c r="W14" s="222"/>
      <c r="X14" s="222"/>
      <c r="Y14" s="633"/>
      <c r="Z14" s="633"/>
      <c r="AA14" s="222"/>
      <c r="AB14" s="222"/>
      <c r="AC14" s="222"/>
      <c r="AD14" s="222"/>
      <c r="AE14" s="226"/>
      <c r="AF14" s="223"/>
    </row>
    <row r="15" spans="2:32">
      <c r="X15" s="123"/>
      <c r="AC15" s="226"/>
    </row>
    <row r="16" spans="2:32">
      <c r="X16" s="123"/>
      <c r="AB16" s="226"/>
    </row>
    <row r="17" spans="3:27" ht="15">
      <c r="I17" s="245"/>
      <c r="O17" s="57" t="s">
        <v>161</v>
      </c>
      <c r="P17" s="57"/>
      <c r="W17" s="123">
        <v>3.4</v>
      </c>
      <c r="X17" s="459" t="s">
        <v>895</v>
      </c>
      <c r="Y17" s="123">
        <f>W17*1000000/365</f>
        <v>9315.0684931506858</v>
      </c>
      <c r="AA17" s="226"/>
    </row>
    <row r="18" spans="3:27" ht="15">
      <c r="O18" s="58">
        <f>O5+Q5</f>
        <v>316.24168599999996</v>
      </c>
      <c r="P18" s="58">
        <f>P5+R5</f>
        <v>363.12192099999999</v>
      </c>
      <c r="W18" s="123">
        <v>5.5</v>
      </c>
      <c r="X18" s="459" t="s">
        <v>895</v>
      </c>
      <c r="Y18" s="123">
        <f>W18*1000000/365</f>
        <v>15068.493150684932</v>
      </c>
      <c r="Z18" s="226"/>
    </row>
    <row r="19" spans="3:27" ht="15">
      <c r="O19" s="58">
        <f>(Refinery_data!CR32)*10^-6</f>
        <v>316.24168599999996</v>
      </c>
      <c r="P19" s="58">
        <f>Refinery_data!CT32*10^-6</f>
        <v>363.12192099999999</v>
      </c>
      <c r="W19" s="123">
        <f>(W18+W17)*43</f>
        <v>382.7</v>
      </c>
      <c r="X19" s="459" t="s">
        <v>62</v>
      </c>
      <c r="Z19" s="226"/>
    </row>
    <row r="20" spans="3:27">
      <c r="X20" s="123"/>
      <c r="Y20" s="226"/>
    </row>
    <row r="23" spans="3:27">
      <c r="C23" s="464"/>
      <c r="D23" s="464"/>
      <c r="E23" s="464"/>
      <c r="F23" s="464"/>
      <c r="G23" s="464"/>
      <c r="H23" s="464"/>
      <c r="I23" s="464"/>
      <c r="J23" s="464"/>
      <c r="K23" s="464"/>
      <c r="L23" s="464"/>
      <c r="M23" s="464"/>
      <c r="N23" s="464"/>
      <c r="R23" s="206" t="s">
        <v>683</v>
      </c>
    </row>
    <row r="24" spans="3:27" ht="23.25" thickBot="1">
      <c r="C24" s="465" t="s">
        <v>321</v>
      </c>
      <c r="D24" s="464"/>
      <c r="E24" s="464"/>
      <c r="F24" s="464"/>
      <c r="G24" s="464"/>
      <c r="H24" s="464"/>
      <c r="I24" s="464"/>
      <c r="J24" s="464"/>
      <c r="K24" s="464"/>
      <c r="L24" s="464"/>
      <c r="M24" s="464"/>
      <c r="N24" s="464"/>
      <c r="R24" s="209" t="s">
        <v>320</v>
      </c>
    </row>
    <row r="25" spans="3:27">
      <c r="C25" s="465" t="s">
        <v>322</v>
      </c>
      <c r="D25" s="464"/>
      <c r="E25" s="464"/>
      <c r="F25" s="464"/>
      <c r="G25" s="464"/>
      <c r="H25" s="464"/>
      <c r="I25" s="464"/>
      <c r="J25" s="464"/>
      <c r="K25" s="464"/>
      <c r="L25" s="464"/>
      <c r="M25" s="464"/>
      <c r="N25" s="464"/>
      <c r="R25" s="215"/>
    </row>
    <row r="26" spans="3:27">
      <c r="C26" s="464" t="s">
        <v>323</v>
      </c>
      <c r="D26" s="464"/>
      <c r="E26" s="464"/>
      <c r="F26" s="464"/>
      <c r="G26" s="464"/>
      <c r="H26" s="464"/>
      <c r="I26" s="464"/>
      <c r="J26" s="464"/>
      <c r="K26" s="464"/>
      <c r="L26" s="464"/>
      <c r="M26" s="464"/>
      <c r="N26" s="464"/>
      <c r="R26" s="475">
        <f t="shared" ref="R26:R31" si="1">M30</f>
        <v>13.497854313001046</v>
      </c>
    </row>
    <row r="27" spans="3:27">
      <c r="C27" s="466"/>
      <c r="D27" s="467"/>
      <c r="E27" s="467"/>
      <c r="F27" s="467">
        <v>2012</v>
      </c>
      <c r="G27" s="467">
        <v>2013</v>
      </c>
      <c r="H27" s="467">
        <v>2014</v>
      </c>
      <c r="I27" s="464"/>
      <c r="J27" s="464"/>
      <c r="K27" s="464"/>
      <c r="L27" s="464"/>
      <c r="M27" s="464"/>
      <c r="N27" s="464"/>
      <c r="R27" s="475">
        <f t="shared" si="1"/>
        <v>13.497854313001046</v>
      </c>
    </row>
    <row r="28" spans="3:27">
      <c r="C28" s="468"/>
      <c r="D28" s="464" t="s">
        <v>324</v>
      </c>
      <c r="E28" s="464" t="s">
        <v>203</v>
      </c>
      <c r="F28" s="469">
        <v>111.44615518427899</v>
      </c>
      <c r="G28" s="469">
        <v>103.65681382359793</v>
      </c>
      <c r="H28" s="469">
        <v>104.42268916052714</v>
      </c>
      <c r="I28" s="464"/>
      <c r="J28" s="464"/>
      <c r="K28" s="464" t="s">
        <v>325</v>
      </c>
      <c r="L28" s="464"/>
      <c r="M28" s="464"/>
      <c r="N28" s="464"/>
      <c r="R28" s="475">
        <f t="shared" si="1"/>
        <v>11.994684173598657</v>
      </c>
    </row>
    <row r="29" spans="3:27">
      <c r="C29" s="467"/>
      <c r="D29" s="467" t="s">
        <v>326</v>
      </c>
      <c r="E29" s="467" t="s">
        <v>203</v>
      </c>
      <c r="F29" s="470">
        <v>4.404676432664</v>
      </c>
      <c r="G29" s="470">
        <v>4.4046764326640027</v>
      </c>
      <c r="H29" s="470">
        <v>4.4046764326640027</v>
      </c>
      <c r="I29" s="464"/>
      <c r="J29" s="471" t="s">
        <v>674</v>
      </c>
      <c r="K29" s="464" t="s">
        <v>327</v>
      </c>
      <c r="L29" s="464"/>
      <c r="M29" s="464" t="s">
        <v>328</v>
      </c>
      <c r="N29" s="464"/>
      <c r="O29" s="459" t="s">
        <v>673</v>
      </c>
      <c r="P29" s="476" t="s">
        <v>690</v>
      </c>
      <c r="R29" s="475">
        <f t="shared" si="1"/>
        <v>11.27377604551792</v>
      </c>
    </row>
    <row r="30" spans="3:27">
      <c r="C30" s="464" t="s">
        <v>329</v>
      </c>
      <c r="D30" s="464" t="s">
        <v>330</v>
      </c>
      <c r="E30" s="464" t="s">
        <v>203</v>
      </c>
      <c r="F30" s="469">
        <v>115.850831616943</v>
      </c>
      <c r="G30" s="469">
        <v>108.06149025626195</v>
      </c>
      <c r="H30" s="469">
        <v>108.82736559319115</v>
      </c>
      <c r="I30" s="464"/>
      <c r="J30" s="472" t="s">
        <v>79</v>
      </c>
      <c r="K30" s="473">
        <f>'MIN-IMP-EXP'!L43</f>
        <v>88</v>
      </c>
      <c r="L30" s="474">
        <f t="shared" ref="L30:L35" si="2">K30/$K$32</f>
        <v>1.1253196930946292</v>
      </c>
      <c r="M30" s="474">
        <f t="shared" ref="M30:M35" si="3">L30*($H$31+$H$32)</f>
        <v>13.497854313001046</v>
      </c>
      <c r="N30" s="464"/>
      <c r="O30" s="459"/>
      <c r="R30" s="475">
        <f t="shared" si="1"/>
        <v>11.810622523875915</v>
      </c>
    </row>
    <row r="31" spans="3:27">
      <c r="C31" s="464"/>
      <c r="D31" s="464" t="s">
        <v>331</v>
      </c>
      <c r="E31" s="464" t="s">
        <v>203</v>
      </c>
      <c r="F31" s="469">
        <v>4.2361897349754107</v>
      </c>
      <c r="G31" s="469">
        <v>4.1920248874866539</v>
      </c>
      <c r="H31" s="469">
        <v>4.2006792787939542</v>
      </c>
      <c r="I31" s="464"/>
      <c r="J31" s="472" t="s">
        <v>104</v>
      </c>
      <c r="K31" s="473">
        <f>'MIN-IMP-EXP'!L43</f>
        <v>88</v>
      </c>
      <c r="L31" s="474">
        <f t="shared" si="2"/>
        <v>1.1253196930946292</v>
      </c>
      <c r="M31" s="474">
        <f t="shared" si="3"/>
        <v>13.497854313001046</v>
      </c>
      <c r="N31" s="464"/>
      <c r="R31" s="475">
        <f t="shared" si="1"/>
        <v>7.2857736348585185</v>
      </c>
      <c r="U31" s="459"/>
      <c r="V31" s="459"/>
      <c r="W31" s="459"/>
    </row>
    <row r="32" spans="3:27">
      <c r="C32" s="464"/>
      <c r="D32" s="464" t="s">
        <v>332</v>
      </c>
      <c r="E32" s="464" t="s">
        <v>203</v>
      </c>
      <c r="F32" s="469">
        <v>7.9360467195305278</v>
      </c>
      <c r="G32" s="469">
        <v>7.7593873295755014</v>
      </c>
      <c r="H32" s="469">
        <v>7.7940048948047016</v>
      </c>
      <c r="I32" s="464"/>
      <c r="J32" s="472" t="s">
        <v>80</v>
      </c>
      <c r="K32" s="473">
        <f>'MIN-IMP-EXP'!L44</f>
        <v>78.2</v>
      </c>
      <c r="L32" s="474">
        <f t="shared" si="2"/>
        <v>1</v>
      </c>
      <c r="M32" s="474">
        <f t="shared" si="3"/>
        <v>11.994684173598657</v>
      </c>
      <c r="N32" s="464"/>
      <c r="R32" s="230"/>
    </row>
    <row r="33" spans="3:28">
      <c r="C33" s="464"/>
      <c r="D33" s="464" t="s">
        <v>333</v>
      </c>
      <c r="E33" s="464" t="s">
        <v>203</v>
      </c>
      <c r="F33" s="469">
        <v>-24.0504159183232</v>
      </c>
      <c r="G33" s="469">
        <v>-24.050415918323171</v>
      </c>
      <c r="H33" s="469">
        <v>-24.050415918323171</v>
      </c>
      <c r="I33" s="464"/>
      <c r="J33" s="472" t="s">
        <v>83</v>
      </c>
      <c r="K33" s="473">
        <f>'MIN-IMP-EXP'!L45</f>
        <v>73.5</v>
      </c>
      <c r="L33" s="474">
        <f t="shared" si="2"/>
        <v>0.93989769820971869</v>
      </c>
      <c r="M33" s="474">
        <f t="shared" si="3"/>
        <v>11.27377604551792</v>
      </c>
      <c r="N33" s="464"/>
      <c r="R33" s="231"/>
    </row>
    <row r="34" spans="3:28">
      <c r="C34" s="467" t="s">
        <v>334</v>
      </c>
      <c r="D34" s="467" t="s">
        <v>335</v>
      </c>
      <c r="E34" s="467" t="s">
        <v>203</v>
      </c>
      <c r="F34" s="470">
        <v>103.97265215312601</v>
      </c>
      <c r="G34" s="470">
        <v>95.962486555000922</v>
      </c>
      <c r="H34" s="470">
        <v>96.771633848466635</v>
      </c>
      <c r="I34" s="464"/>
      <c r="J34" s="472" t="s">
        <v>45</v>
      </c>
      <c r="K34" s="473">
        <f>'MIN-IMP-EXP'!L29</f>
        <v>77</v>
      </c>
      <c r="L34" s="474">
        <f t="shared" si="2"/>
        <v>0.98465473145780047</v>
      </c>
      <c r="M34" s="474">
        <f t="shared" si="3"/>
        <v>11.810622523875915</v>
      </c>
      <c r="N34" s="464"/>
    </row>
    <row r="35" spans="3:28">
      <c r="C35" s="464" t="s">
        <v>336</v>
      </c>
      <c r="D35" s="464" t="s">
        <v>337</v>
      </c>
      <c r="E35" s="464" t="s">
        <v>203</v>
      </c>
      <c r="F35" s="469">
        <v>2.1662997269030217</v>
      </c>
      <c r="G35" s="469">
        <v>2.1662997269030217</v>
      </c>
      <c r="H35" s="469">
        <v>2.1662997269030217</v>
      </c>
      <c r="I35" s="464"/>
      <c r="J35" s="472" t="s">
        <v>44</v>
      </c>
      <c r="K35" s="473">
        <f>'MIN-IMP-EXP'!L28</f>
        <v>47.5</v>
      </c>
      <c r="L35" s="474">
        <f t="shared" si="2"/>
        <v>0.60741687979539638</v>
      </c>
      <c r="M35" s="474">
        <f t="shared" si="3"/>
        <v>7.2857736348585185</v>
      </c>
      <c r="N35" s="464"/>
    </row>
    <row r="36" spans="3:28">
      <c r="C36" s="464" t="s">
        <v>329</v>
      </c>
      <c r="D36" s="464" t="s">
        <v>336</v>
      </c>
      <c r="E36" s="464" t="s">
        <v>203</v>
      </c>
      <c r="F36" s="469">
        <v>106.13895188002874</v>
      </c>
      <c r="G36" s="469">
        <v>98.128786281903928</v>
      </c>
      <c r="H36" s="469">
        <v>98.937933575369655</v>
      </c>
      <c r="I36" s="464"/>
      <c r="J36" s="464"/>
      <c r="K36" s="464"/>
      <c r="L36" s="464"/>
      <c r="M36" s="464"/>
      <c r="N36" s="464"/>
    </row>
    <row r="37" spans="3:28">
      <c r="C37" s="464"/>
      <c r="D37" s="464"/>
      <c r="E37" s="464"/>
      <c r="F37" s="464"/>
      <c r="G37" s="464"/>
      <c r="H37" s="464"/>
      <c r="I37" s="464"/>
      <c r="J37" s="464"/>
      <c r="K37" s="464"/>
      <c r="L37" s="464"/>
      <c r="M37" s="464"/>
      <c r="N37" s="464"/>
    </row>
    <row r="38" spans="3:28">
      <c r="C38" s="464" t="s">
        <v>338</v>
      </c>
      <c r="D38" s="464"/>
      <c r="E38" s="464"/>
      <c r="F38" s="464"/>
      <c r="G38" s="464"/>
      <c r="H38" s="464"/>
      <c r="I38" s="464"/>
      <c r="J38" s="464"/>
      <c r="K38" s="464"/>
      <c r="L38" s="464"/>
      <c r="M38" s="464"/>
      <c r="N38" s="464"/>
      <c r="W38" s="459"/>
    </row>
    <row r="39" spans="3:28">
      <c r="C39" s="464" t="s">
        <v>339</v>
      </c>
      <c r="D39" s="464"/>
      <c r="E39" s="464"/>
      <c r="F39" s="464"/>
      <c r="G39" s="464"/>
      <c r="H39" s="464"/>
      <c r="I39" s="464"/>
      <c r="J39" s="464"/>
      <c r="K39" s="464"/>
      <c r="L39" s="464"/>
      <c r="M39" s="464"/>
      <c r="N39" s="464"/>
    </row>
    <row r="40" spans="3:28">
      <c r="C40" s="464"/>
      <c r="D40" s="464"/>
      <c r="E40" s="464"/>
      <c r="F40" s="464"/>
      <c r="G40" s="464"/>
      <c r="H40" s="464"/>
      <c r="I40" s="464"/>
      <c r="J40" s="464"/>
      <c r="K40" s="464"/>
      <c r="L40" s="464"/>
      <c r="M40" s="464"/>
      <c r="N40" s="464"/>
    </row>
    <row r="42" spans="3:28">
      <c r="AB42" s="459"/>
    </row>
    <row r="43" spans="3:28">
      <c r="C43" s="238" t="s">
        <v>321</v>
      </c>
    </row>
    <row r="44" spans="3:28">
      <c r="C44" s="238" t="s">
        <v>322</v>
      </c>
    </row>
    <row r="45" spans="3:28">
      <c r="C45" s="123" t="s">
        <v>323</v>
      </c>
      <c r="X45" s="462"/>
    </row>
    <row r="46" spans="3:28" ht="13.5" thickBot="1">
      <c r="X46" s="462"/>
    </row>
    <row r="47" spans="3:28">
      <c r="C47" s="478"/>
      <c r="D47" s="479" t="s">
        <v>675</v>
      </c>
      <c r="E47" s="479" t="s">
        <v>676</v>
      </c>
      <c r="F47" s="479" t="s">
        <v>677</v>
      </c>
      <c r="G47" s="480" t="s">
        <v>678</v>
      </c>
      <c r="X47" s="462"/>
    </row>
    <row r="48" spans="3:28">
      <c r="C48" s="481"/>
      <c r="D48" s="462" t="s">
        <v>682</v>
      </c>
      <c r="E48" s="462" t="s">
        <v>682</v>
      </c>
      <c r="F48" s="462" t="s">
        <v>682</v>
      </c>
      <c r="G48" s="482" t="s">
        <v>682</v>
      </c>
      <c r="W48" s="459"/>
      <c r="X48" s="462"/>
    </row>
    <row r="49" spans="3:36">
      <c r="C49" s="483" t="s">
        <v>79</v>
      </c>
      <c r="D49" s="477">
        <v>4.0999999999999996</v>
      </c>
      <c r="E49" s="477">
        <v>7.8</v>
      </c>
      <c r="F49" s="477">
        <v>-8</v>
      </c>
      <c r="G49" s="484">
        <f>SUM(D49:F49)</f>
        <v>3.8999999999999986</v>
      </c>
      <c r="R49" s="459"/>
      <c r="AJ49" s="459"/>
    </row>
    <row r="50" spans="3:36">
      <c r="C50" s="483" t="s">
        <v>104</v>
      </c>
      <c r="D50" s="477">
        <v>4.0999999999999996</v>
      </c>
      <c r="E50" s="477">
        <v>7.8</v>
      </c>
      <c r="F50" s="477">
        <v>-8</v>
      </c>
      <c r="G50" s="484">
        <f>SUM(D50:F50)</f>
        <v>3.8999999999999986</v>
      </c>
    </row>
    <row r="51" spans="3:36">
      <c r="C51" s="483" t="s">
        <v>80</v>
      </c>
      <c r="D51" s="477">
        <v>4.0999999999999996</v>
      </c>
      <c r="E51" s="477">
        <v>7.8</v>
      </c>
      <c r="F51" s="477">
        <v>5.7</v>
      </c>
      <c r="G51" s="484">
        <f>SUM(D51:F51)</f>
        <v>17.599999999999998</v>
      </c>
    </row>
    <row r="52" spans="3:36">
      <c r="C52" s="483" t="s">
        <v>83</v>
      </c>
      <c r="D52" s="477">
        <v>4.0999999999999996</v>
      </c>
      <c r="E52" s="477">
        <v>7.8</v>
      </c>
      <c r="F52" s="477">
        <v>1.8</v>
      </c>
      <c r="G52" s="484">
        <f>SUM(D52:F52)</f>
        <v>13.7</v>
      </c>
    </row>
    <row r="53" spans="3:36">
      <c r="C53" s="483" t="s">
        <v>45</v>
      </c>
      <c r="D53" s="477">
        <v>4.0999999999999996</v>
      </c>
      <c r="E53" s="477">
        <v>7.8</v>
      </c>
      <c r="F53" s="477">
        <v>4.5999999999999996</v>
      </c>
      <c r="G53" s="484">
        <f t="shared" ref="G53:G54" si="4">SUM(D53:F53)</f>
        <v>16.5</v>
      </c>
    </row>
    <row r="54" spans="3:36" ht="13.5" thickBot="1">
      <c r="C54" s="485" t="s">
        <v>44</v>
      </c>
      <c r="D54" s="486">
        <v>4.0999999999999996</v>
      </c>
      <c r="E54" s="486">
        <v>7.8</v>
      </c>
      <c r="F54" s="486">
        <v>-23.7</v>
      </c>
      <c r="G54" s="487">
        <f t="shared" si="4"/>
        <v>-11.8</v>
      </c>
    </row>
    <row r="56" spans="3:36">
      <c r="C56" s="123" t="s">
        <v>338</v>
      </c>
    </row>
    <row r="57" spans="3:36">
      <c r="C57" s="459" t="s">
        <v>689</v>
      </c>
    </row>
    <row r="60" spans="3:36">
      <c r="X60" s="123"/>
    </row>
    <row r="61" spans="3:36">
      <c r="X61" s="163"/>
      <c r="Y61" s="204"/>
      <c r="Z61" s="204"/>
    </row>
    <row r="62" spans="3:36">
      <c r="X62" s="163"/>
      <c r="Y62" s="204"/>
      <c r="Z62" s="204"/>
    </row>
    <row r="63" spans="3:36">
      <c r="X63" s="163"/>
      <c r="Y63" s="204"/>
      <c r="Z63" s="204"/>
    </row>
    <row r="64" spans="3:36">
      <c r="X64" s="163"/>
      <c r="Y64" s="204"/>
      <c r="Z64" s="204"/>
    </row>
    <row r="65" spans="10:26">
      <c r="X65" s="163"/>
      <c r="Y65" s="204"/>
      <c r="Z65" s="204"/>
    </row>
    <row r="66" spans="10:26">
      <c r="X66" s="163"/>
      <c r="Y66" s="204"/>
      <c r="Z66" s="204"/>
    </row>
    <row r="71" spans="10:26">
      <c r="J71" s="459" t="s">
        <v>681</v>
      </c>
      <c r="K71" s="459" t="s">
        <v>684</v>
      </c>
    </row>
    <row r="72" spans="10:26">
      <c r="J72" s="459" t="s">
        <v>679</v>
      </c>
      <c r="K72" s="123" t="s">
        <v>680</v>
      </c>
    </row>
    <row r="100" spans="9:14">
      <c r="I100" s="459" t="s">
        <v>381</v>
      </c>
      <c r="J100" s="459" t="s">
        <v>685</v>
      </c>
      <c r="N100" s="226"/>
    </row>
    <row r="101" spans="9:14">
      <c r="I101" s="459" t="s">
        <v>679</v>
      </c>
      <c r="J101" s="123" t="s">
        <v>680</v>
      </c>
    </row>
  </sheetData>
  <conditionalFormatting sqref="Y6:Z14 K5:L5">
    <cfRule type="cellIs" dxfId="12" priority="20" stopIfTrue="1" operator="equal">
      <formula>1</formula>
    </cfRule>
  </conditionalFormatting>
  <conditionalFormatting sqref="U5">
    <cfRule type="cellIs" dxfId="11" priority="21" stopIfTrue="1" operator="greaterThan">
      <formula>#REF!</formula>
    </cfRule>
  </conditionalFormatting>
  <conditionalFormatting sqref="O5">
    <cfRule type="cellIs" dxfId="10" priority="17" stopIfTrue="1" operator="equal">
      <formula>1</formula>
    </cfRule>
  </conditionalFormatting>
  <conditionalFormatting sqref="P5">
    <cfRule type="cellIs" dxfId="9" priority="15" stopIfTrue="1" operator="equal">
      <formula>1</formula>
    </cfRule>
  </conditionalFormatting>
  <conditionalFormatting sqref="Q5:R5">
    <cfRule type="cellIs" dxfId="8" priority="11" stopIfTrue="1" operator="equal">
      <formula>1</formula>
    </cfRule>
  </conditionalFormatting>
  <conditionalFormatting sqref="W6:X14">
    <cfRule type="cellIs" dxfId="7" priority="10" stopIfTrue="1" operator="equal">
      <formula>1</formula>
    </cfRule>
  </conditionalFormatting>
  <conditionalFormatting sqref="AA5">
    <cfRule type="cellIs" dxfId="6" priority="8" stopIfTrue="1" operator="equal">
      <formula>1</formula>
    </cfRule>
  </conditionalFormatting>
  <conditionalFormatting sqref="AB5">
    <cfRule type="cellIs" dxfId="5" priority="7" stopIfTrue="1" operator="equal">
      <formula>1</formula>
    </cfRule>
  </conditionalFormatting>
  <conditionalFormatting sqref="V5">
    <cfRule type="cellIs" dxfId="4" priority="6" stopIfTrue="1" operator="greaterThan">
      <formula>#REF!</formula>
    </cfRule>
  </conditionalFormatting>
  <conditionalFormatting sqref="K12:L12">
    <cfRule type="cellIs" dxfId="3" priority="4" stopIfTrue="1" operator="equal">
      <formula>1</formula>
    </cfRule>
  </conditionalFormatting>
  <conditionalFormatting sqref="O5:P5">
    <cfRule type="cellIs" dxfId="2" priority="22" stopIfTrue="1" operator="lessThan">
      <formula>#REF!</formula>
    </cfRule>
  </conditionalFormatting>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R29"/>
  <sheetViews>
    <sheetView workbookViewId="0">
      <selection activeCell="I29" sqref="I29"/>
    </sheetView>
  </sheetViews>
  <sheetFormatPr defaultRowHeight="12.75"/>
  <cols>
    <col min="3" max="3" width="10.7109375" customWidth="1"/>
    <col min="5" max="5" width="8.85546875" style="576"/>
  </cols>
  <sheetData>
    <row r="1" spans="1:18">
      <c r="A1" s="602"/>
      <c r="B1" s="602"/>
      <c r="C1" s="602"/>
      <c r="D1" s="602"/>
      <c r="E1" s="602"/>
      <c r="F1" s="602"/>
      <c r="G1" s="602"/>
      <c r="H1" s="602"/>
      <c r="I1" s="602"/>
      <c r="J1" s="602"/>
    </row>
    <row r="2" spans="1:18">
      <c r="A2" s="602"/>
      <c r="B2" s="603" t="s">
        <v>803</v>
      </c>
      <c r="C2" s="602"/>
      <c r="D2" s="602"/>
      <c r="E2" s="602"/>
      <c r="F2" s="602"/>
      <c r="G2" s="602"/>
      <c r="H2" s="602"/>
      <c r="I2" s="602"/>
      <c r="J2" s="602"/>
    </row>
    <row r="3" spans="1:18">
      <c r="A3" s="602"/>
      <c r="B3" s="602"/>
      <c r="C3" s="602"/>
      <c r="D3" s="602"/>
      <c r="E3" s="602"/>
      <c r="F3" s="602"/>
      <c r="G3" s="602"/>
      <c r="H3" s="602"/>
      <c r="I3" s="602"/>
      <c r="J3" s="602"/>
    </row>
    <row r="4" spans="1:18">
      <c r="A4" s="602"/>
      <c r="B4" s="604" t="s">
        <v>804</v>
      </c>
      <c r="C4" s="602"/>
      <c r="D4" s="602"/>
      <c r="E4" s="602"/>
      <c r="F4" s="602"/>
      <c r="G4" s="602"/>
      <c r="H4" s="602"/>
      <c r="I4" s="602"/>
      <c r="J4" s="602"/>
    </row>
    <row r="5" spans="1:18">
      <c r="A5" s="602"/>
      <c r="B5" s="603" t="s">
        <v>805</v>
      </c>
      <c r="C5" s="602"/>
      <c r="D5" s="602"/>
      <c r="E5" s="602"/>
      <c r="F5" s="602"/>
      <c r="G5" s="602"/>
      <c r="H5" s="602"/>
      <c r="I5" s="602"/>
      <c r="J5" s="602"/>
    </row>
    <row r="6" spans="1:18">
      <c r="A6" s="602"/>
      <c r="B6" s="603"/>
      <c r="C6" s="602"/>
      <c r="D6" s="602"/>
      <c r="E6" s="602"/>
      <c r="F6" s="602"/>
      <c r="G6" s="602"/>
      <c r="H6" s="602"/>
      <c r="I6" s="602"/>
      <c r="J6" s="602"/>
    </row>
    <row r="7" spans="1:18">
      <c r="A7" s="602"/>
      <c r="B7" s="602"/>
      <c r="C7" s="602"/>
      <c r="D7" s="605" t="s">
        <v>806</v>
      </c>
      <c r="E7" s="605"/>
      <c r="F7" s="605" t="s">
        <v>49</v>
      </c>
      <c r="G7" s="605" t="s">
        <v>51</v>
      </c>
      <c r="H7" s="605" t="s">
        <v>50</v>
      </c>
      <c r="I7" s="605" t="s">
        <v>79</v>
      </c>
      <c r="J7" s="612" t="s">
        <v>56</v>
      </c>
      <c r="K7" s="612" t="s">
        <v>863</v>
      </c>
      <c r="L7" s="612" t="s">
        <v>862</v>
      </c>
      <c r="M7" s="612" t="s">
        <v>864</v>
      </c>
    </row>
    <row r="8" spans="1:18" ht="13.5" thickBot="1">
      <c r="A8" s="602"/>
      <c r="B8" s="606" t="s">
        <v>807</v>
      </c>
      <c r="C8" s="607"/>
      <c r="D8" s="607" t="s">
        <v>458</v>
      </c>
      <c r="E8" s="607"/>
      <c r="F8" s="607" t="s">
        <v>458</v>
      </c>
      <c r="G8" s="607" t="s">
        <v>458</v>
      </c>
      <c r="H8" s="607" t="s">
        <v>458</v>
      </c>
      <c r="I8" s="607" t="s">
        <v>458</v>
      </c>
      <c r="J8" s="613" t="s">
        <v>458</v>
      </c>
      <c r="K8" s="613" t="s">
        <v>458</v>
      </c>
      <c r="L8" s="613" t="s">
        <v>458</v>
      </c>
      <c r="M8" s="613" t="s">
        <v>458</v>
      </c>
    </row>
    <row r="9" spans="1:18">
      <c r="A9" s="602"/>
      <c r="B9" s="602"/>
      <c r="C9" s="602"/>
      <c r="D9" s="602"/>
      <c r="E9" s="602"/>
      <c r="F9" s="602"/>
      <c r="G9" s="602"/>
      <c r="H9" s="602"/>
      <c r="I9" s="602"/>
      <c r="J9" s="614"/>
    </row>
    <row r="10" spans="1:18">
      <c r="A10" s="602"/>
      <c r="B10" s="602"/>
      <c r="C10" s="608" t="s">
        <v>808</v>
      </c>
      <c r="D10" s="602"/>
      <c r="E10" s="602"/>
      <c r="F10" s="602"/>
      <c r="G10" s="602"/>
      <c r="H10" s="602"/>
      <c r="I10" s="602"/>
      <c r="J10" s="614"/>
    </row>
    <row r="11" spans="1:18">
      <c r="A11" s="602"/>
      <c r="B11" s="609" t="s">
        <v>1</v>
      </c>
      <c r="C11" s="610" t="s">
        <v>3</v>
      </c>
      <c r="D11" s="611" t="s">
        <v>834</v>
      </c>
      <c r="E11" s="743" t="s">
        <v>991</v>
      </c>
      <c r="F11" s="611" t="s">
        <v>835</v>
      </c>
      <c r="G11" s="611" t="s">
        <v>836</v>
      </c>
      <c r="H11" s="611" t="s">
        <v>837</v>
      </c>
      <c r="I11" s="611" t="s">
        <v>838</v>
      </c>
      <c r="J11" s="615" t="s">
        <v>839</v>
      </c>
      <c r="K11" s="648" t="s">
        <v>851</v>
      </c>
      <c r="L11" s="648" t="s">
        <v>853</v>
      </c>
      <c r="M11" s="648" t="s">
        <v>861</v>
      </c>
    </row>
    <row r="12" spans="1:18">
      <c r="A12" s="602"/>
      <c r="B12" s="602"/>
      <c r="C12" s="602" t="s">
        <v>250</v>
      </c>
      <c r="D12" s="643">
        <v>56.95</v>
      </c>
      <c r="E12" s="643">
        <f>AVERAGE(G12:H12)</f>
        <v>76.64</v>
      </c>
      <c r="F12" s="643">
        <v>94.6</v>
      </c>
      <c r="G12" s="643">
        <v>74</v>
      </c>
      <c r="H12" s="643">
        <v>79.28</v>
      </c>
      <c r="I12" s="644">
        <v>63.1</v>
      </c>
    </row>
    <row r="13" spans="1:18">
      <c r="A13" s="602"/>
      <c r="B13" s="602"/>
      <c r="C13" s="602" t="s">
        <v>809</v>
      </c>
      <c r="D13" s="602"/>
      <c r="E13" s="602"/>
      <c r="F13" s="602"/>
      <c r="G13" s="602"/>
      <c r="H13" s="602"/>
      <c r="I13" s="602"/>
      <c r="J13" s="643">
        <v>37</v>
      </c>
    </row>
    <row r="14" spans="1:18" ht="15">
      <c r="A14" s="602"/>
      <c r="B14" s="602"/>
      <c r="C14" s="602" t="s">
        <v>857</v>
      </c>
      <c r="D14" s="602"/>
      <c r="E14" s="602"/>
      <c r="F14" s="602"/>
      <c r="G14" s="602"/>
      <c r="H14" s="602"/>
      <c r="I14" s="602"/>
      <c r="J14" s="602"/>
      <c r="K14" s="649"/>
      <c r="L14" s="690">
        <f>'Table1.A(a)s1'!G38/('Produktion af primær energi'!AW9/1000)</f>
        <v>8.1233567318158926</v>
      </c>
      <c r="O14" s="634" t="s">
        <v>945</v>
      </c>
    </row>
    <row r="15" spans="1:18">
      <c r="A15" s="602"/>
      <c r="B15" s="602"/>
      <c r="C15" s="602" t="s">
        <v>859</v>
      </c>
      <c r="D15" s="602"/>
      <c r="E15" s="602"/>
      <c r="F15" s="602"/>
      <c r="G15" s="602"/>
      <c r="H15" s="602"/>
      <c r="I15" s="602"/>
      <c r="J15" s="602"/>
      <c r="M15">
        <f>O16</f>
        <v>11</v>
      </c>
    </row>
    <row r="16" spans="1:18">
      <c r="A16" s="602"/>
      <c r="B16" s="602"/>
      <c r="C16" s="602" t="s">
        <v>943</v>
      </c>
      <c r="M16">
        <f>-M15</f>
        <v>-11</v>
      </c>
      <c r="O16">
        <v>11</v>
      </c>
      <c r="P16" t="s">
        <v>865</v>
      </c>
      <c r="R16" s="651" t="s">
        <v>866</v>
      </c>
    </row>
    <row r="17" spans="1:3">
      <c r="A17" s="602"/>
      <c r="B17" s="602"/>
      <c r="C17" s="602"/>
    </row>
    <row r="18" spans="1:3">
      <c r="A18" s="602"/>
      <c r="B18" s="602"/>
      <c r="C18" s="602"/>
    </row>
    <row r="19" spans="1:3">
      <c r="A19" s="602"/>
      <c r="B19" s="602"/>
      <c r="C19" s="602"/>
    </row>
    <row r="20" spans="1:3">
      <c r="A20" s="602"/>
      <c r="B20" s="602"/>
    </row>
    <row r="21" spans="1:3">
      <c r="A21" s="602"/>
      <c r="B21" s="602"/>
    </row>
    <row r="22" spans="1:3">
      <c r="A22" s="602"/>
      <c r="B22" s="602"/>
    </row>
    <row r="23" spans="1:3">
      <c r="A23" s="602"/>
      <c r="B23" s="602"/>
    </row>
    <row r="24" spans="1:3">
      <c r="A24" s="602"/>
      <c r="B24" s="602"/>
    </row>
    <row r="25" spans="1:3">
      <c r="A25" s="602"/>
      <c r="B25" s="602"/>
    </row>
    <row r="26" spans="1:3">
      <c r="A26" s="602"/>
    </row>
    <row r="27" spans="1:3">
      <c r="A27" s="602"/>
    </row>
    <row r="28" spans="1:3">
      <c r="A28" s="602"/>
    </row>
    <row r="29" spans="1:3">
      <c r="A29" s="602"/>
    </row>
  </sheetData>
  <hyperlinks>
    <hyperlink ref="R16"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T84"/>
  <sheetViews>
    <sheetView topLeftCell="A61" zoomScaleNormal="100" workbookViewId="0">
      <selection activeCell="E38" sqref="E38"/>
    </sheetView>
  </sheetViews>
  <sheetFormatPr defaultRowHeight="12.75"/>
  <cols>
    <col min="2" max="2" width="12.42578125" bestFit="1" customWidth="1"/>
    <col min="5" max="5" width="13.5703125" customWidth="1"/>
  </cols>
  <sheetData>
    <row r="2" spans="2:12">
      <c r="B2" s="11"/>
      <c r="C2" s="110"/>
      <c r="D2" s="110"/>
      <c r="E2" s="12" t="s">
        <v>7</v>
      </c>
      <c r="F2" s="110"/>
    </row>
    <row r="3" spans="2:12" ht="25.5">
      <c r="B3" s="13" t="s">
        <v>1</v>
      </c>
      <c r="C3" s="13" t="s">
        <v>21</v>
      </c>
      <c r="D3" s="13" t="s">
        <v>85</v>
      </c>
      <c r="E3" s="111" t="s">
        <v>13</v>
      </c>
      <c r="F3" s="61" t="s">
        <v>86</v>
      </c>
      <c r="G3" s="653" t="s">
        <v>876</v>
      </c>
      <c r="H3" s="653" t="s">
        <v>877</v>
      </c>
      <c r="I3" s="653" t="s">
        <v>878</v>
      </c>
      <c r="J3" s="653" t="s">
        <v>826</v>
      </c>
      <c r="K3" s="653" t="s">
        <v>827</v>
      </c>
      <c r="L3" s="653" t="s">
        <v>879</v>
      </c>
    </row>
    <row r="4" spans="2:12" ht="13.5" thickBot="1">
      <c r="B4" s="112" t="s">
        <v>251</v>
      </c>
      <c r="C4" s="113"/>
      <c r="D4" s="113"/>
      <c r="E4" s="114"/>
      <c r="F4" s="115"/>
      <c r="G4" s="654"/>
      <c r="H4" s="654"/>
      <c r="I4" s="654"/>
      <c r="J4" s="654"/>
      <c r="K4" s="654"/>
      <c r="L4" s="654"/>
    </row>
    <row r="5" spans="2:12" ht="13.5" thickBot="1">
      <c r="B5" s="116" t="s">
        <v>22</v>
      </c>
      <c r="C5" s="117"/>
      <c r="D5" s="117"/>
      <c r="E5" s="117"/>
      <c r="F5" s="118"/>
    </row>
    <row r="6" spans="2:12">
      <c r="B6" t="str">
        <f>Processes!D75</f>
        <v>FT-SUPELC</v>
      </c>
      <c r="D6" s="29" t="s">
        <v>252</v>
      </c>
      <c r="E6" s="29" t="s">
        <v>249</v>
      </c>
      <c r="F6" s="119">
        <v>1</v>
      </c>
    </row>
    <row r="7" spans="2:12">
      <c r="B7" t="str">
        <f>Processes!D76</f>
        <v>FT-SUPHETC</v>
      </c>
      <c r="D7" s="634" t="s">
        <v>828</v>
      </c>
      <c r="E7" s="29" t="s">
        <v>418</v>
      </c>
      <c r="F7">
        <v>0.85</v>
      </c>
    </row>
    <row r="8" spans="2:12" ht="13.5" thickBot="1">
      <c r="B8" t="str">
        <f>Processes!D77</f>
        <v>FT-SUPHETD</v>
      </c>
      <c r="D8" s="634" t="s">
        <v>829</v>
      </c>
      <c r="E8" s="29" t="s">
        <v>419</v>
      </c>
      <c r="F8">
        <v>0.78</v>
      </c>
    </row>
    <row r="9" spans="2:12">
      <c r="B9" s="576" t="str">
        <f>Processes!D91</f>
        <v>FT-SUPCOA</v>
      </c>
      <c r="C9" s="576"/>
      <c r="D9" s="29" t="str">
        <f>Commodities!D6</f>
        <v>COA</v>
      </c>
      <c r="E9" s="29" t="str">
        <f>Commodities!D83</f>
        <v>SUPCOA</v>
      </c>
      <c r="F9" s="119">
        <v>1</v>
      </c>
    </row>
    <row r="10" spans="2:12">
      <c r="B10" t="str">
        <f>Processes!D92</f>
        <v>FT-SUPNGA</v>
      </c>
      <c r="D10" t="str">
        <f>Commodities!D7</f>
        <v>NGA</v>
      </c>
      <c r="E10" t="str">
        <f>Commodities!D84</f>
        <v>SUPNGA</v>
      </c>
      <c r="F10">
        <v>1</v>
      </c>
    </row>
    <row r="11" spans="2:12" s="576" customFormat="1">
      <c r="B11" s="576" t="str">
        <f>Processes!D93</f>
        <v>FT-SUPGAS</v>
      </c>
      <c r="D11" s="576" t="str">
        <f>Commodities!D8</f>
        <v>GAS</v>
      </c>
      <c r="E11" s="576" t="str">
        <f>Commodities!D85</f>
        <v>SUPGAS</v>
      </c>
      <c r="F11" s="576">
        <v>1</v>
      </c>
    </row>
    <row r="12" spans="2:12">
      <c r="B12" t="str">
        <f>Processes!D94</f>
        <v>FT-SUPWST</v>
      </c>
      <c r="D12" t="str">
        <f>Commodities!D10</f>
        <v>WST</v>
      </c>
      <c r="E12" t="str">
        <f>Commodities!D86</f>
        <v>SUPWST</v>
      </c>
      <c r="F12">
        <v>1</v>
      </c>
    </row>
    <row r="13" spans="2:12">
      <c r="B13" t="str">
        <f>Processes!D95</f>
        <v>FT-SUPSTR</v>
      </c>
      <c r="D13" t="str">
        <f>Commodities!D11</f>
        <v>STR</v>
      </c>
      <c r="E13" t="str">
        <f>Commodities!D87</f>
        <v>SUPSTR</v>
      </c>
      <c r="F13" s="576">
        <v>1</v>
      </c>
    </row>
    <row r="14" spans="2:12">
      <c r="B14" s="576" t="str">
        <f>Processes!D96</f>
        <v>FT-SUPDLI</v>
      </c>
      <c r="C14" s="576"/>
      <c r="D14" s="576" t="str">
        <f>Commodities!D12</f>
        <v>DLI</v>
      </c>
      <c r="E14" s="576" t="str">
        <f>Commodities!D88</f>
        <v>SUPDLI</v>
      </c>
      <c r="F14" s="576">
        <v>1</v>
      </c>
    </row>
    <row r="15" spans="2:12" s="576" customFormat="1">
      <c r="B15" s="576" t="str">
        <f>Processes!D97</f>
        <v>FT-SUPGRS</v>
      </c>
      <c r="D15" s="576" t="str">
        <f>Commodities!D13</f>
        <v>GRS</v>
      </c>
      <c r="E15" s="576" t="str">
        <f>Commodities!D89</f>
        <v>SUPGRS</v>
      </c>
      <c r="F15" s="576">
        <v>1</v>
      </c>
    </row>
    <row r="16" spans="2:12">
      <c r="B16" t="str">
        <f>Processes!D98</f>
        <v>FT-SUPBGA</v>
      </c>
      <c r="D16" t="str">
        <f>Commodities!D14</f>
        <v>BGA</v>
      </c>
      <c r="E16" t="str">
        <f>Commodities!D90</f>
        <v>SUPBGA</v>
      </c>
      <c r="F16" s="576">
        <v>1</v>
      </c>
    </row>
    <row r="17" spans="2:6">
      <c r="B17" t="str">
        <f>Processes!D99</f>
        <v>FT-SUPWIN</v>
      </c>
      <c r="D17" t="str">
        <f>Commodities!D15</f>
        <v>WIN</v>
      </c>
      <c r="E17" t="str">
        <f>Commodities!D91</f>
        <v>SUPWIN</v>
      </c>
      <c r="F17" s="576">
        <v>1</v>
      </c>
    </row>
    <row r="18" spans="2:6">
      <c r="B18" t="str">
        <f>Processes!D100</f>
        <v>FT-SUPHYD</v>
      </c>
      <c r="D18" t="str">
        <f>Commodities!D16</f>
        <v>HYD</v>
      </c>
      <c r="E18" t="str">
        <f>Commodities!D92</f>
        <v>SUPHYD</v>
      </c>
      <c r="F18" s="576">
        <v>1</v>
      </c>
    </row>
    <row r="19" spans="2:6">
      <c r="B19" t="str">
        <f>Processes!D101</f>
        <v>FT-SUPSOL</v>
      </c>
      <c r="D19" t="str">
        <f>Commodities!D17</f>
        <v>SOL</v>
      </c>
      <c r="E19" t="str">
        <f>Commodities!D93</f>
        <v>SUPSOL</v>
      </c>
      <c r="F19" s="576">
        <v>1</v>
      </c>
    </row>
    <row r="20" spans="2:6">
      <c r="B20" t="str">
        <f>Processes!D102</f>
        <v>FT-SUPGEO</v>
      </c>
      <c r="D20" t="str">
        <f>Commodities!D18</f>
        <v>GEO</v>
      </c>
      <c r="E20" t="str">
        <f>Commodities!D94</f>
        <v>SUPGEO</v>
      </c>
      <c r="F20" s="576">
        <v>1</v>
      </c>
    </row>
    <row r="21" spans="2:6">
      <c r="B21" t="str">
        <f>Processes!D103</f>
        <v>FT-SUPWAV</v>
      </c>
      <c r="D21" t="str">
        <f>Commodities!D19</f>
        <v>WAV</v>
      </c>
      <c r="E21" t="str">
        <f>Commodities!D95</f>
        <v>SUPWAV</v>
      </c>
      <c r="F21" s="576">
        <v>1</v>
      </c>
    </row>
    <row r="22" spans="2:6">
      <c r="B22" t="str">
        <f>Processes!D104</f>
        <v>FT-SUPWPE</v>
      </c>
      <c r="D22" t="str">
        <f>Commodities!D20</f>
        <v>WPE</v>
      </c>
      <c r="E22" t="str">
        <f>Commodities!D96</f>
        <v>SUPWPE</v>
      </c>
      <c r="F22" s="576">
        <v>1</v>
      </c>
    </row>
    <row r="23" spans="2:6">
      <c r="B23" t="str">
        <f>Processes!D105</f>
        <v>FT-SUPWCH</v>
      </c>
      <c r="D23" t="str">
        <f>Commodities!D21</f>
        <v>WCH</v>
      </c>
      <c r="E23" t="str">
        <f>Commodities!D97</f>
        <v>SUPWCH</v>
      </c>
      <c r="F23" s="576">
        <v>1</v>
      </c>
    </row>
    <row r="24" spans="2:6">
      <c r="B24" t="str">
        <f>Processes!D106</f>
        <v>FT-SUPFIW</v>
      </c>
      <c r="D24" t="str">
        <f>Commodities!D22</f>
        <v>FIW</v>
      </c>
      <c r="E24" t="str">
        <f>Commodities!D98</f>
        <v>SUPFIW</v>
      </c>
      <c r="F24" s="576">
        <v>1</v>
      </c>
    </row>
    <row r="25" spans="2:6">
      <c r="B25" t="str">
        <f>Processes!D107</f>
        <v>FT-SUPCRD</v>
      </c>
      <c r="D25" t="str">
        <f>Commodities!D23</f>
        <v>CRD</v>
      </c>
      <c r="E25" t="str">
        <f>Commodities!D99</f>
        <v>SUPCRD</v>
      </c>
      <c r="F25" s="576">
        <v>1</v>
      </c>
    </row>
    <row r="26" spans="2:6">
      <c r="B26" t="str">
        <f>Processes!D108</f>
        <v>FT-SUPLPG</v>
      </c>
      <c r="D26" t="str">
        <f>Commodities!D25</f>
        <v>LPG</v>
      </c>
      <c r="E26" t="str">
        <f>Commodities!D100</f>
        <v>SUPLPG</v>
      </c>
      <c r="F26" s="576">
        <v>1</v>
      </c>
    </row>
    <row r="27" spans="2:6">
      <c r="B27" t="str">
        <f>Processes!D109</f>
        <v>FT-SUPLVN</v>
      </c>
      <c r="D27" t="str">
        <f>Commodities!D26</f>
        <v>LVN</v>
      </c>
      <c r="E27" t="str">
        <f>Commodities!D101</f>
        <v>SUPLVN</v>
      </c>
      <c r="F27" s="576">
        <v>1</v>
      </c>
    </row>
    <row r="28" spans="2:6">
      <c r="B28" t="str">
        <f>Processes!D110</f>
        <v>FT-SUPGSL</v>
      </c>
      <c r="D28" t="str">
        <f>Commodities!D27</f>
        <v>GSL</v>
      </c>
      <c r="E28" t="str">
        <f>Commodities!D102</f>
        <v>SUPGSL</v>
      </c>
      <c r="F28" s="576">
        <v>1</v>
      </c>
    </row>
    <row r="29" spans="2:6">
      <c r="B29" t="str">
        <f>Processes!D111</f>
        <v>FT-SUPKER</v>
      </c>
      <c r="D29" t="str">
        <f>Commodities!D28</f>
        <v>KER</v>
      </c>
      <c r="E29" t="str">
        <f>Commodities!D103</f>
        <v>SUPKER</v>
      </c>
      <c r="F29" s="576">
        <v>1</v>
      </c>
    </row>
    <row r="30" spans="2:6">
      <c r="B30" t="str">
        <f>Processes!D112</f>
        <v>FT-SUPDSL</v>
      </c>
      <c r="D30" t="str">
        <f>Commodities!D29</f>
        <v>DSL</v>
      </c>
      <c r="E30" t="str">
        <f>Commodities!D104</f>
        <v>SUPDSL</v>
      </c>
      <c r="F30" s="576">
        <v>1</v>
      </c>
    </row>
    <row r="31" spans="2:6">
      <c r="B31" t="str">
        <f>Processes!D113</f>
        <v>FT-SUPHFO</v>
      </c>
      <c r="D31" t="str">
        <f>Commodities!D30</f>
        <v>HFO</v>
      </c>
      <c r="E31" t="str">
        <f>Commodities!D105</f>
        <v>SUPHFO</v>
      </c>
      <c r="F31" s="576">
        <v>1</v>
      </c>
    </row>
    <row r="32" spans="2:6">
      <c r="B32" t="str">
        <f>Processes!D114</f>
        <v>FT-SUPKRB1</v>
      </c>
      <c r="D32" t="str">
        <f>Commodities!D32</f>
        <v>KRB1</v>
      </c>
      <c r="E32" t="str">
        <f>Commodities!D106</f>
        <v>SUPKRB1</v>
      </c>
      <c r="F32" s="576">
        <v>1</v>
      </c>
    </row>
    <row r="33" spans="2:6">
      <c r="B33" t="str">
        <f>Processes!D115</f>
        <v>FT-SUPKRB2</v>
      </c>
      <c r="D33" t="str">
        <f>Commodities!D33</f>
        <v>KRB2</v>
      </c>
      <c r="E33" t="str">
        <f>Commodities!D107</f>
        <v>SUPKRB2</v>
      </c>
      <c r="F33" s="576">
        <v>1</v>
      </c>
    </row>
    <row r="34" spans="2:6">
      <c r="B34" t="str">
        <f>Processes!D116</f>
        <v>FT-SUPSNG</v>
      </c>
      <c r="D34" t="str">
        <f>Commodities!D35</f>
        <v>SNG1</v>
      </c>
      <c r="E34" t="str">
        <f>Commodities!D108</f>
        <v>SUPSNG</v>
      </c>
      <c r="F34" s="576">
        <v>1</v>
      </c>
    </row>
    <row r="35" spans="2:6">
      <c r="D35" t="str">
        <f>Commodities!D36</f>
        <v>SNG2</v>
      </c>
      <c r="F35" s="576">
        <v>1</v>
      </c>
    </row>
    <row r="36" spans="2:6" s="576" customFormat="1">
      <c r="D36" s="576" t="s">
        <v>906</v>
      </c>
      <c r="F36" s="576">
        <v>1</v>
      </c>
    </row>
    <row r="37" spans="2:6">
      <c r="B37" t="str">
        <f>Processes!D117</f>
        <v>FT-SUPDSB1</v>
      </c>
      <c r="D37" t="str">
        <f>Commodities!D38</f>
        <v>DSB1</v>
      </c>
      <c r="E37" t="str">
        <f>Commodities!D109</f>
        <v>SUPDSB1</v>
      </c>
      <c r="F37" s="576">
        <v>1</v>
      </c>
    </row>
    <row r="38" spans="2:6">
      <c r="B38" t="str">
        <f>Processes!D118</f>
        <v>FT-SUPDSB2</v>
      </c>
      <c r="D38" t="str">
        <f>Commodities!D39</f>
        <v>DSB2</v>
      </c>
      <c r="E38" t="str">
        <f>Commodities!D110</f>
        <v>SUPDSB2</v>
      </c>
      <c r="F38" s="576">
        <v>1</v>
      </c>
    </row>
    <row r="39" spans="2:6">
      <c r="B39" t="str">
        <f>Processes!D119</f>
        <v>FT-SUPGSB</v>
      </c>
      <c r="D39" t="str">
        <f>Commodities!D41</f>
        <v>GSB1</v>
      </c>
      <c r="E39" t="str">
        <f>Commodities!D111</f>
        <v>SUPGSB</v>
      </c>
      <c r="F39" s="576">
        <v>1</v>
      </c>
    </row>
    <row r="40" spans="2:6">
      <c r="D40" t="str">
        <f>Commodities!D42</f>
        <v>GSB2</v>
      </c>
      <c r="F40" s="576">
        <v>1</v>
      </c>
    </row>
    <row r="41" spans="2:6" s="576" customFormat="1">
      <c r="D41" s="576" t="s">
        <v>902</v>
      </c>
      <c r="F41" s="576">
        <v>1</v>
      </c>
    </row>
    <row r="42" spans="2:6" s="576" customFormat="1">
      <c r="B42" s="576" t="str">
        <f>Processes!D120</f>
        <v>FT-SUPCRB</v>
      </c>
      <c r="D42" s="576" t="str">
        <f>Commodities!D44</f>
        <v>CRB</v>
      </c>
      <c r="E42" s="576" t="str">
        <f>Commodities!D112</f>
        <v>SUPCRB</v>
      </c>
      <c r="F42" s="576">
        <v>1</v>
      </c>
    </row>
    <row r="43" spans="2:6" s="576" customFormat="1">
      <c r="B43" s="576" t="str">
        <f>Processes!D121</f>
        <v>FT-SUPSYN</v>
      </c>
      <c r="D43" s="576" t="str">
        <f>Commodities!D45</f>
        <v>SYN</v>
      </c>
      <c r="E43" s="576" t="str">
        <f>Commodities!D113</f>
        <v>SUPSYN</v>
      </c>
      <c r="F43" s="576">
        <v>1</v>
      </c>
    </row>
    <row r="44" spans="2:6">
      <c r="B44" s="576" t="str">
        <f>Processes!D122</f>
        <v>FT-SUPCRN</v>
      </c>
      <c r="C44" s="576"/>
      <c r="D44" s="576" t="str">
        <f>Commodities!D46</f>
        <v>CRN</v>
      </c>
      <c r="E44" s="576" t="str">
        <f>Commodities!D114</f>
        <v>SUPCRN</v>
      </c>
      <c r="F44" s="576">
        <v>1</v>
      </c>
    </row>
    <row r="45" spans="2:6">
      <c r="B45" s="576" t="str">
        <f>Processes!D123</f>
        <v>FT-SUPRPS</v>
      </c>
      <c r="C45" s="576"/>
      <c r="D45" s="576" t="str">
        <f>Commodities!D47</f>
        <v>RPS</v>
      </c>
      <c r="E45" s="576" t="str">
        <f>Commodities!D115</f>
        <v>SUPRPS</v>
      </c>
      <c r="F45" s="576">
        <v>1</v>
      </c>
    </row>
    <row r="46" spans="2:6">
      <c r="B46" s="576" t="str">
        <f>Processes!D124</f>
        <v>FT-SUPSGB</v>
      </c>
      <c r="C46" s="576"/>
      <c r="D46" s="576" t="str">
        <f>Commodities!D48</f>
        <v>SGB</v>
      </c>
      <c r="E46" s="576" t="str">
        <f>Commodities!D116</f>
        <v>SUPSGB</v>
      </c>
      <c r="F46" s="576">
        <v>1</v>
      </c>
    </row>
    <row r="47" spans="2:6">
      <c r="B47" s="576" t="str">
        <f>Processes!D125</f>
        <v>FT-SUPMOB</v>
      </c>
      <c r="C47" s="576"/>
      <c r="D47" s="576" t="str">
        <f>Commodities!D49</f>
        <v>MOB1</v>
      </c>
      <c r="E47" s="576" t="str">
        <f>Commodities!D117</f>
        <v>SUPMOB</v>
      </c>
      <c r="F47" s="576">
        <v>1</v>
      </c>
    </row>
    <row r="48" spans="2:6">
      <c r="B48" s="576"/>
      <c r="C48" s="576"/>
      <c r="D48" s="576" t="str">
        <f>Commodities!D50</f>
        <v>MOB2</v>
      </c>
      <c r="E48" s="576"/>
      <c r="F48" s="576">
        <v>1</v>
      </c>
    </row>
    <row r="49" spans="2:15" s="576" customFormat="1">
      <c r="D49" s="576" t="str">
        <f>Commodities!D51</f>
        <v>MOE</v>
      </c>
      <c r="F49" s="576">
        <v>1</v>
      </c>
    </row>
    <row r="50" spans="2:15">
      <c r="B50" s="576" t="str">
        <f>Processes!D126</f>
        <v>FT-SUPDDGS</v>
      </c>
      <c r="C50" s="576"/>
      <c r="D50" s="576" t="str">
        <f>Commodities!D52</f>
        <v>DDGS</v>
      </c>
      <c r="E50" s="576" t="str">
        <f>Commodities!D118</f>
        <v>SUPDDGS</v>
      </c>
      <c r="F50" s="576">
        <v>1</v>
      </c>
    </row>
    <row r="51" spans="2:15">
      <c r="B51" s="576" t="str">
        <f>Processes!D127</f>
        <v>FT-SUPGLY</v>
      </c>
      <c r="C51" s="576"/>
      <c r="D51" s="576" t="str">
        <f>Commodities!D53</f>
        <v>GLY</v>
      </c>
      <c r="E51" s="576" t="str">
        <f>Commodities!D119</f>
        <v>SUPGLY</v>
      </c>
      <c r="F51" s="576">
        <v>1</v>
      </c>
    </row>
    <row r="52" spans="2:15">
      <c r="B52" s="576" t="str">
        <f>Processes!D128</f>
        <v>FT-SUPLNB</v>
      </c>
      <c r="C52" s="576"/>
      <c r="D52" s="576" t="str">
        <f>Commodities!D54</f>
        <v>LNB</v>
      </c>
      <c r="E52" s="576" t="str">
        <f>Commodities!D120</f>
        <v>SUPLNB</v>
      </c>
      <c r="F52" s="576">
        <v>1</v>
      </c>
    </row>
    <row r="53" spans="2:15" s="576" customFormat="1">
      <c r="B53" s="576" t="str">
        <f>Processes!D129</f>
        <v>FT-SUPH2</v>
      </c>
      <c r="D53" s="576" t="str">
        <f>Commodities!D55</f>
        <v>H2</v>
      </c>
      <c r="E53" s="576" t="str">
        <f>Commodities!D121</f>
        <v>SUPH2</v>
      </c>
      <c r="F53" s="576">
        <v>1</v>
      </c>
    </row>
    <row r="54" spans="2:15">
      <c r="B54" s="576" t="str">
        <f>Processes!D130</f>
        <v>FT-SUPRPC</v>
      </c>
      <c r="C54" s="576"/>
      <c r="D54" s="576" t="str">
        <f>Commodities!D58</f>
        <v>RPC</v>
      </c>
      <c r="E54" s="576" t="str">
        <f>Commodities!D122</f>
        <v>SUPRPC</v>
      </c>
      <c r="F54" s="576">
        <v>1</v>
      </c>
    </row>
    <row r="55" spans="2:15">
      <c r="B55" s="576" t="str">
        <f>Processes!D131</f>
        <v>FT-SUPSGP</v>
      </c>
      <c r="C55" s="576"/>
      <c r="D55" s="576" t="str">
        <f>Commodities!D59</f>
        <v>SGP</v>
      </c>
      <c r="E55" s="576" t="str">
        <f>Commodities!D123</f>
        <v>SUPSGP</v>
      </c>
      <c r="F55" s="576">
        <v>1</v>
      </c>
    </row>
    <row r="56" spans="2:15">
      <c r="B56" s="576" t="str">
        <f>Processes!D132</f>
        <v>FT-SUPDME</v>
      </c>
      <c r="C56" s="576"/>
      <c r="D56" s="576" t="str">
        <f>Commodities!D60</f>
        <v>DME</v>
      </c>
      <c r="E56" s="576" t="str">
        <f>Commodities!D124</f>
        <v>SUPDME</v>
      </c>
      <c r="F56" s="576">
        <v>1</v>
      </c>
    </row>
    <row r="57" spans="2:15">
      <c r="B57" s="576" t="str">
        <f>Processes!D133</f>
        <v>FT-SUPMNR</v>
      </c>
      <c r="C57" s="576"/>
      <c r="D57" s="576" t="str">
        <f>Commodities!D61</f>
        <v>MNR</v>
      </c>
      <c r="E57" s="576" t="str">
        <f>Commodities!D125</f>
        <v>SUPMNR</v>
      </c>
      <c r="F57" s="576">
        <v>1</v>
      </c>
    </row>
    <row r="58" spans="2:15">
      <c r="B58" s="576" t="str">
        <f>Processes!D134</f>
        <v>FT-SUPAGSL</v>
      </c>
      <c r="C58" s="576"/>
      <c r="D58" s="576" t="str">
        <f>Commodities!D62</f>
        <v>AGSL</v>
      </c>
      <c r="E58" s="576" t="str">
        <f>Commodities!D126</f>
        <v>SUPAGSL</v>
      </c>
      <c r="F58" s="576">
        <v>1</v>
      </c>
    </row>
    <row r="59" spans="2:15">
      <c r="B59" s="576" t="str">
        <f>Processes!D135</f>
        <v>FT-SUPMOV</v>
      </c>
      <c r="C59" s="576"/>
      <c r="D59" s="576" t="str">
        <f>Commodities!D63</f>
        <v>MOV</v>
      </c>
      <c r="E59" s="576" t="str">
        <f>Commodities!D127</f>
        <v>SUPMOV</v>
      </c>
      <c r="F59" s="576">
        <v>1</v>
      </c>
    </row>
    <row r="60" spans="2:15">
      <c r="B60" s="576" t="str">
        <f>Processes!D136</f>
        <v>FT-MINNGA</v>
      </c>
      <c r="C60" s="576"/>
      <c r="D60" s="576" t="s">
        <v>853</v>
      </c>
      <c r="E60" s="576" t="s">
        <v>41</v>
      </c>
      <c r="F60" s="576">
        <v>1</v>
      </c>
    </row>
    <row r="61" spans="2:15">
      <c r="B61" s="576" t="str">
        <f>Processes!D137</f>
        <v>FT-MINCRD</v>
      </c>
      <c r="C61" s="576"/>
      <c r="D61" s="576" t="s">
        <v>851</v>
      </c>
      <c r="E61" s="576" t="s">
        <v>97</v>
      </c>
      <c r="F61" s="576">
        <v>1</v>
      </c>
    </row>
    <row r="62" spans="2:15">
      <c r="B62" s="576" t="str">
        <f>Processes!D138</f>
        <v>FT-GASBL1</v>
      </c>
      <c r="C62" s="576"/>
      <c r="D62" s="576" t="s">
        <v>41</v>
      </c>
      <c r="E62" s="576" t="s">
        <v>883</v>
      </c>
      <c r="F62" s="576">
        <v>1</v>
      </c>
      <c r="G62">
        <v>100</v>
      </c>
      <c r="I62" s="655">
        <v>1</v>
      </c>
      <c r="K62">
        <v>5</v>
      </c>
    </row>
    <row r="63" spans="2:15">
      <c r="B63" s="576"/>
      <c r="C63" s="576"/>
      <c r="D63" s="576" t="str">
        <f>Commodities!D35</f>
        <v>SNG1</v>
      </c>
      <c r="E63" s="576"/>
      <c r="F63" s="576"/>
      <c r="I63" s="655">
        <v>1</v>
      </c>
      <c r="K63">
        <v>5</v>
      </c>
      <c r="O63" s="660"/>
    </row>
    <row r="64" spans="2:15" s="576" customFormat="1">
      <c r="D64" s="576" t="str">
        <f>Commodities!D36</f>
        <v>SNG2</v>
      </c>
      <c r="I64" s="655">
        <v>1</v>
      </c>
      <c r="K64" s="576">
        <v>5</v>
      </c>
      <c r="O64" s="660"/>
    </row>
    <row r="65" spans="2:20" s="576" customFormat="1">
      <c r="D65" s="576" t="str">
        <f>Commodities!D37</f>
        <v>SNE</v>
      </c>
      <c r="I65" s="655">
        <v>1</v>
      </c>
      <c r="K65" s="576">
        <v>5</v>
      </c>
      <c r="O65" s="660" t="s">
        <v>893</v>
      </c>
    </row>
    <row r="66" spans="2:20">
      <c r="B66" s="576"/>
      <c r="C66" s="576"/>
      <c r="D66" s="576" t="s">
        <v>201</v>
      </c>
      <c r="E66" s="576"/>
      <c r="F66" s="576"/>
      <c r="I66" s="655">
        <v>0</v>
      </c>
      <c r="K66" s="576">
        <v>5</v>
      </c>
      <c r="O66" s="634" t="s">
        <v>894</v>
      </c>
    </row>
    <row r="67" spans="2:20">
      <c r="B67" s="576"/>
      <c r="C67" s="576"/>
      <c r="D67" s="576" t="s">
        <v>870</v>
      </c>
      <c r="E67" s="576"/>
      <c r="F67" s="576"/>
      <c r="I67" s="655">
        <v>0</v>
      </c>
      <c r="K67" s="576">
        <v>5</v>
      </c>
      <c r="O67" t="s">
        <v>891</v>
      </c>
      <c r="P67" t="s">
        <v>892</v>
      </c>
      <c r="Q67" t="s">
        <v>890</v>
      </c>
      <c r="R67" t="s">
        <v>889</v>
      </c>
    </row>
    <row r="68" spans="2:20">
      <c r="B68" s="576" t="s">
        <v>881</v>
      </c>
      <c r="C68" s="576"/>
      <c r="D68" s="576" t="str">
        <f>D62</f>
        <v>NGA</v>
      </c>
      <c r="E68" s="576" t="s">
        <v>883</v>
      </c>
      <c r="F68" s="576">
        <v>1</v>
      </c>
      <c r="G68" s="576">
        <v>100</v>
      </c>
      <c r="H68" s="576"/>
      <c r="I68" s="655">
        <v>1</v>
      </c>
      <c r="J68" s="576"/>
      <c r="K68" s="576">
        <v>5</v>
      </c>
      <c r="L68">
        <v>2020</v>
      </c>
      <c r="O68" s="659">
        <f>P68/(SUM(P68:P69))</f>
        <v>0.99439690017561955</v>
      </c>
      <c r="P68" s="576">
        <f>R68*Q68</f>
        <v>3.5672000000000002E-2</v>
      </c>
      <c r="Q68" s="655">
        <f>100%-Q69</f>
        <v>0.98</v>
      </c>
      <c r="R68" s="576">
        <v>3.6400000000000002E-2</v>
      </c>
      <c r="S68" s="576" t="s">
        <v>374</v>
      </c>
    </row>
    <row r="69" spans="2:20">
      <c r="B69" s="576"/>
      <c r="C69" s="576"/>
      <c r="D69" s="576" t="str">
        <f t="shared" ref="D69:D79" si="0">D63</f>
        <v>SNG1</v>
      </c>
      <c r="E69" s="576"/>
      <c r="F69" s="576"/>
      <c r="G69" s="576"/>
      <c r="H69" s="576"/>
      <c r="I69" s="655">
        <v>1</v>
      </c>
      <c r="J69" s="576"/>
      <c r="K69" s="576">
        <v>5</v>
      </c>
      <c r="O69" s="659">
        <f>P69/(SUM(P68:P69))</f>
        <v>5.6030998243804531E-3</v>
      </c>
      <c r="P69" s="576">
        <f>R69*Q69</f>
        <v>2.0100000000000001E-4</v>
      </c>
      <c r="Q69" s="655">
        <v>0.02</v>
      </c>
      <c r="R69" s="576">
        <v>1.005E-2</v>
      </c>
      <c r="S69" s="576" t="s">
        <v>871</v>
      </c>
    </row>
    <row r="70" spans="2:20">
      <c r="B70" s="576"/>
      <c r="C70" s="576"/>
      <c r="D70" s="576" t="str">
        <f t="shared" si="0"/>
        <v>SNG2</v>
      </c>
      <c r="E70" s="576"/>
      <c r="F70" s="576"/>
      <c r="G70" s="576"/>
      <c r="H70" s="576"/>
      <c r="I70" s="655">
        <v>1</v>
      </c>
      <c r="J70" s="576"/>
      <c r="K70" s="576">
        <v>5</v>
      </c>
      <c r="L70" s="576"/>
      <c r="O70" s="659">
        <f>P70/(SUM(P70:P71))</f>
        <v>0.95354033438631636</v>
      </c>
      <c r="P70" s="576">
        <f>R70*Q70</f>
        <v>3.0940000000000002E-2</v>
      </c>
      <c r="Q70" s="655">
        <v>0.85</v>
      </c>
      <c r="R70">
        <v>3.6400000000000002E-2</v>
      </c>
      <c r="S70" t="s">
        <v>374</v>
      </c>
    </row>
    <row r="71" spans="2:20">
      <c r="B71" s="576"/>
      <c r="C71" s="576"/>
      <c r="D71" s="576" t="str">
        <f t="shared" si="0"/>
        <v>SNE</v>
      </c>
      <c r="E71" s="576"/>
      <c r="F71" s="576"/>
      <c r="G71" s="576"/>
      <c r="H71" s="576"/>
      <c r="I71" s="655">
        <v>1</v>
      </c>
      <c r="J71" s="576"/>
      <c r="K71" s="576">
        <v>5</v>
      </c>
      <c r="O71" s="659">
        <f>P71/(SUM(P70:P71))</f>
        <v>4.6459665613683636E-2</v>
      </c>
      <c r="P71" s="576">
        <f>R71*Q71</f>
        <v>1.5074999999999999E-3</v>
      </c>
      <c r="Q71" s="655">
        <v>0.15</v>
      </c>
      <c r="R71">
        <v>1.005E-2</v>
      </c>
      <c r="S71" t="s">
        <v>871</v>
      </c>
    </row>
    <row r="72" spans="2:20">
      <c r="B72" s="576"/>
      <c r="C72" s="576"/>
      <c r="D72" s="576" t="str">
        <f t="shared" si="0"/>
        <v>BGA</v>
      </c>
      <c r="E72" s="576"/>
      <c r="F72" s="576"/>
      <c r="G72" s="576"/>
      <c r="H72" s="576"/>
      <c r="I72" s="655">
        <v>0</v>
      </c>
      <c r="J72" s="576"/>
      <c r="K72" s="576">
        <v>5</v>
      </c>
    </row>
    <row r="73" spans="2:20" s="576" customFormat="1">
      <c r="D73" s="576" t="str">
        <f t="shared" si="0"/>
        <v>H2</v>
      </c>
      <c r="I73" s="659">
        <f>O69</f>
        <v>5.6030998243804531E-3</v>
      </c>
      <c r="K73" s="576">
        <v>5</v>
      </c>
    </row>
    <row r="74" spans="2:20">
      <c r="B74" s="576" t="s">
        <v>882</v>
      </c>
      <c r="C74" s="576"/>
      <c r="D74" s="576" t="str">
        <f t="shared" si="0"/>
        <v>NGA</v>
      </c>
      <c r="E74" s="576" t="s">
        <v>883</v>
      </c>
      <c r="F74" s="576">
        <v>1</v>
      </c>
      <c r="G74" s="576">
        <v>100</v>
      </c>
      <c r="H74" s="576"/>
      <c r="I74" s="655">
        <v>1</v>
      </c>
      <c r="J74" s="576"/>
      <c r="K74" s="576">
        <v>5</v>
      </c>
      <c r="L74" s="576">
        <v>2030</v>
      </c>
      <c r="O74" t="s">
        <v>885</v>
      </c>
      <c r="T74" s="651" t="s">
        <v>886</v>
      </c>
    </row>
    <row r="75" spans="2:20">
      <c r="B75" s="576"/>
      <c r="C75" s="576"/>
      <c r="D75" s="576" t="str">
        <f t="shared" si="0"/>
        <v>SNG1</v>
      </c>
      <c r="E75" s="576"/>
      <c r="F75" s="576"/>
      <c r="G75" s="576"/>
      <c r="H75" s="576"/>
      <c r="I75" s="655">
        <v>1</v>
      </c>
      <c r="J75" s="576"/>
      <c r="K75" s="576">
        <v>5</v>
      </c>
      <c r="L75" s="576"/>
      <c r="O75" t="s">
        <v>887</v>
      </c>
      <c r="T75" s="651" t="s">
        <v>888</v>
      </c>
    </row>
    <row r="76" spans="2:20">
      <c r="B76" s="576"/>
      <c r="C76" s="576"/>
      <c r="D76" s="576" t="str">
        <f t="shared" si="0"/>
        <v>SNG2</v>
      </c>
      <c r="E76" s="576"/>
      <c r="F76" s="576"/>
      <c r="G76" s="576"/>
      <c r="H76" s="576"/>
      <c r="I76" s="655">
        <v>1</v>
      </c>
      <c r="J76" s="576"/>
      <c r="K76" s="576">
        <v>5</v>
      </c>
      <c r="L76" s="576"/>
    </row>
    <row r="77" spans="2:20" s="576" customFormat="1">
      <c r="D77" s="576" t="str">
        <f t="shared" si="0"/>
        <v>SNE</v>
      </c>
      <c r="I77" s="655">
        <v>1</v>
      </c>
      <c r="K77" s="576">
        <v>5</v>
      </c>
    </row>
    <row r="78" spans="2:20">
      <c r="B78" s="576"/>
      <c r="C78" s="576"/>
      <c r="D78" s="576" t="str">
        <f t="shared" si="0"/>
        <v>BGA</v>
      </c>
      <c r="E78" s="576"/>
      <c r="F78" s="576"/>
      <c r="G78" s="576"/>
      <c r="H78" s="576"/>
      <c r="I78" s="655">
        <v>0</v>
      </c>
      <c r="J78" s="576"/>
      <c r="K78" s="576">
        <v>5</v>
      </c>
      <c r="L78" s="576"/>
    </row>
    <row r="79" spans="2:20">
      <c r="B79" s="576"/>
      <c r="C79" s="576"/>
      <c r="D79" s="576" t="str">
        <f t="shared" si="0"/>
        <v>H2</v>
      </c>
      <c r="E79" s="576"/>
      <c r="F79" s="576"/>
      <c r="G79" s="576"/>
      <c r="H79" s="576"/>
      <c r="I79" s="659">
        <f>O71</f>
        <v>4.6459665613683636E-2</v>
      </c>
      <c r="J79" s="576"/>
      <c r="K79" s="576">
        <v>5</v>
      </c>
      <c r="L79" s="576"/>
    </row>
    <row r="80" spans="2:20">
      <c r="B80" t="s">
        <v>923</v>
      </c>
      <c r="D80" t="s">
        <v>924</v>
      </c>
      <c r="E80" t="s">
        <v>868</v>
      </c>
      <c r="F80">
        <v>1</v>
      </c>
    </row>
    <row r="81" spans="4:4">
      <c r="D81" t="s">
        <v>925</v>
      </c>
    </row>
    <row r="82" spans="4:4">
      <c r="D82" t="s">
        <v>926</v>
      </c>
    </row>
    <row r="83" spans="4:4">
      <c r="D83" t="s">
        <v>927</v>
      </c>
    </row>
    <row r="84" spans="4:4">
      <c r="D84" s="634" t="s">
        <v>1100</v>
      </c>
    </row>
  </sheetData>
  <hyperlinks>
    <hyperlink ref="T74" r:id="rId1" xr:uid="{00000000-0004-0000-0800-000000000000}"/>
    <hyperlink ref="T75" r:id="rId2" xr:uid="{00000000-0004-0000-0800-000001000000}"/>
  </hyperlinks>
  <pageMargins left="0.7" right="0.7" top="0.75" bottom="0.75" header="0.3" footer="0.3"/>
  <pageSetup paperSize="0" orientation="portrait" horizontalDpi="0" verticalDpi="0" copie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Commodities</vt:lpstr>
      <vt:lpstr>Processes</vt:lpstr>
      <vt:lpstr>MIN-IMP-EXP</vt:lpstr>
      <vt:lpstr>ETS_NETS_Prices</vt:lpstr>
      <vt:lpstr>Refineries</vt:lpstr>
      <vt:lpstr>Emis</vt:lpstr>
      <vt:lpstr>Fuel Tech</vt:lpstr>
      <vt:lpstr>BiomassCost</vt:lpstr>
      <vt:lpstr>MIN-IMP-EXP_Data</vt:lpstr>
      <vt:lpstr>Refinery_data</vt:lpstr>
      <vt:lpstr>Table1.A(a)s1</vt:lpstr>
      <vt:lpstr>Oversigt energibalance</vt:lpstr>
      <vt:lpstr>Produktion af primær energi</vt:lpstr>
      <vt:lpstr>CO2Price</vt:lpstr>
      <vt:lpstr>CRF_Table1.A_a_s1_Main</vt:lpstr>
      <vt:lpstr>Raggr4</vt:lpstr>
      <vt:lpstr>Raggr5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 Simonsen</cp:lastModifiedBy>
  <cp:lastPrinted>2005-02-10T12:45:56Z</cp:lastPrinted>
  <dcterms:created xsi:type="dcterms:W3CDTF">2000-12-13T15:53:11Z</dcterms:created>
  <dcterms:modified xsi:type="dcterms:W3CDTF">2021-09-27T13:03:21Z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685538709163665</vt:r8>
  </property>
</Properties>
</file>